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Финансовое моделирование в Excel\"/>
    </mc:Choice>
  </mc:AlternateContent>
  <xr:revisionPtr revIDLastSave="0" documentId="13_ncr:1_{9EA92F99-8513-42B2-8FFA-492B409263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Исходные данные" sheetId="6" r:id="rId1"/>
    <sheet name="План по доходам" sheetId="1" r:id="rId2"/>
    <sheet name="План по расходам" sheetId="4" r:id="rId3"/>
    <sheet name="Отчет о ФР" sheetId="2" r:id="rId4"/>
    <sheet name="Отчет о ДДС" sheetId="5" r:id="rId5"/>
    <sheet name="Баланс" sheetId="3" r:id="rId6"/>
  </sheets>
  <calcPr calcId="191029"/>
</workbook>
</file>

<file path=xl/calcChain.xml><?xml version="1.0" encoding="utf-8"?>
<calcChain xmlns="http://schemas.openxmlformats.org/spreadsheetml/2006/main">
  <c r="M6" i="5" l="1"/>
  <c r="N4" i="5"/>
  <c r="N6" i="5"/>
  <c r="N7" i="5"/>
  <c r="N8" i="5"/>
  <c r="N9" i="5"/>
  <c r="N3" i="5"/>
  <c r="N16" i="2"/>
  <c r="N15" i="2"/>
  <c r="N4" i="2"/>
  <c r="N5" i="2"/>
  <c r="N6" i="2"/>
  <c r="N7" i="2"/>
  <c r="N8" i="2"/>
  <c r="N9" i="2"/>
  <c r="N10" i="2"/>
  <c r="N11" i="2"/>
  <c r="N12" i="2"/>
  <c r="N3" i="2"/>
  <c r="N15" i="4"/>
  <c r="N4" i="4"/>
  <c r="N5" i="4"/>
  <c r="N6" i="4"/>
  <c r="N7" i="4"/>
  <c r="N8" i="4"/>
  <c r="N9" i="4"/>
  <c r="N10" i="4"/>
  <c r="N11" i="4"/>
  <c r="N12" i="4"/>
  <c r="N13" i="4"/>
  <c r="N14" i="4"/>
  <c r="N3" i="4"/>
  <c r="N8" i="1"/>
  <c r="N4" i="1"/>
  <c r="N5" i="1"/>
  <c r="N6" i="1"/>
  <c r="N7" i="1"/>
  <c r="N3" i="1"/>
  <c r="B17" i="3" l="1"/>
  <c r="C15" i="2"/>
  <c r="D15" i="2"/>
  <c r="E15" i="2"/>
  <c r="F15" i="2"/>
  <c r="F12" i="2" s="1"/>
  <c r="G15" i="2"/>
  <c r="G12" i="2" s="1"/>
  <c r="H15" i="2"/>
  <c r="I15" i="2"/>
  <c r="J15" i="2"/>
  <c r="K15" i="2"/>
  <c r="L15" i="2"/>
  <c r="M15" i="2"/>
  <c r="M12" i="2" s="1"/>
  <c r="C16" i="2"/>
  <c r="D16" i="2"/>
  <c r="E16" i="2"/>
  <c r="F16" i="2"/>
  <c r="G16" i="2"/>
  <c r="H16" i="2"/>
  <c r="I16" i="2"/>
  <c r="J16" i="2"/>
  <c r="K16" i="2"/>
  <c r="L16" i="2"/>
  <c r="M16" i="2"/>
  <c r="B16" i="2"/>
  <c r="B15" i="2"/>
  <c r="B4" i="3"/>
  <c r="C4" i="3" s="1"/>
  <c r="B8" i="3"/>
  <c r="B5" i="3" s="1"/>
  <c r="B13" i="3"/>
  <c r="B10" i="3"/>
  <c r="C9" i="5"/>
  <c r="D9" i="5"/>
  <c r="E9" i="5"/>
  <c r="F9" i="5"/>
  <c r="G9" i="5"/>
  <c r="H9" i="5"/>
  <c r="I9" i="5"/>
  <c r="J9" i="5"/>
  <c r="K9" i="5"/>
  <c r="L9" i="5"/>
  <c r="M9" i="5"/>
  <c r="B9" i="5"/>
  <c r="D8" i="5"/>
  <c r="E8" i="5"/>
  <c r="F8" i="5"/>
  <c r="G8" i="5"/>
  <c r="H8" i="5"/>
  <c r="I8" i="5"/>
  <c r="J8" i="5"/>
  <c r="K8" i="5"/>
  <c r="L8" i="5"/>
  <c r="M8" i="5"/>
  <c r="C8" i="5"/>
  <c r="D7" i="5"/>
  <c r="E7" i="5"/>
  <c r="F7" i="5"/>
  <c r="G7" i="5"/>
  <c r="H7" i="5"/>
  <c r="I7" i="5"/>
  <c r="J7" i="5"/>
  <c r="K7" i="5"/>
  <c r="L7" i="5"/>
  <c r="M7" i="5"/>
  <c r="C7" i="5"/>
  <c r="B7" i="5"/>
  <c r="C6" i="5"/>
  <c r="D6" i="5"/>
  <c r="E6" i="5"/>
  <c r="F6" i="5"/>
  <c r="G6" i="5"/>
  <c r="H6" i="5"/>
  <c r="I6" i="5"/>
  <c r="J6" i="5"/>
  <c r="K6" i="5"/>
  <c r="L6" i="5"/>
  <c r="B6" i="5"/>
  <c r="F4" i="5"/>
  <c r="C9" i="2"/>
  <c r="D9" i="2"/>
  <c r="E9" i="2"/>
  <c r="F9" i="2"/>
  <c r="G9" i="2"/>
  <c r="H9" i="2"/>
  <c r="I9" i="2"/>
  <c r="J9" i="2"/>
  <c r="K9" i="2"/>
  <c r="L9" i="2"/>
  <c r="M9" i="2"/>
  <c r="B9" i="2"/>
  <c r="C8" i="2"/>
  <c r="D8" i="2"/>
  <c r="E8" i="2"/>
  <c r="F8" i="2"/>
  <c r="G8" i="2"/>
  <c r="H8" i="2"/>
  <c r="I8" i="2"/>
  <c r="J8" i="2"/>
  <c r="K8" i="2"/>
  <c r="L8" i="2"/>
  <c r="M8" i="2"/>
  <c r="B8" i="2"/>
  <c r="C7" i="2"/>
  <c r="D7" i="2"/>
  <c r="E7" i="2"/>
  <c r="F7" i="2"/>
  <c r="G7" i="2"/>
  <c r="G4" i="2" s="1"/>
  <c r="G10" i="2" s="1"/>
  <c r="H7" i="2"/>
  <c r="I7" i="2"/>
  <c r="J7" i="2"/>
  <c r="K7" i="2"/>
  <c r="L7" i="2"/>
  <c r="M7" i="2"/>
  <c r="C6" i="2"/>
  <c r="D6" i="2"/>
  <c r="E6" i="2"/>
  <c r="F6" i="2"/>
  <c r="G6" i="2"/>
  <c r="H6" i="2"/>
  <c r="I6" i="2"/>
  <c r="J6" i="2"/>
  <c r="K6" i="2"/>
  <c r="L6" i="2"/>
  <c r="M6" i="2"/>
  <c r="C5" i="2"/>
  <c r="D5" i="2"/>
  <c r="E5" i="2"/>
  <c r="F5" i="2"/>
  <c r="G5" i="2"/>
  <c r="H5" i="2"/>
  <c r="I5" i="2"/>
  <c r="J5" i="2"/>
  <c r="K5" i="2"/>
  <c r="L5" i="2"/>
  <c r="M5" i="2"/>
  <c r="M4" i="2" s="1"/>
  <c r="M10" i="2" s="1"/>
  <c r="C3" i="2"/>
  <c r="C4" i="5" s="1"/>
  <c r="D3" i="2"/>
  <c r="D4" i="5" s="1"/>
  <c r="E3" i="2"/>
  <c r="E4" i="5" s="1"/>
  <c r="F3" i="2"/>
  <c r="G3" i="2"/>
  <c r="G4" i="5" s="1"/>
  <c r="H3" i="2"/>
  <c r="H4" i="5" s="1"/>
  <c r="I3" i="2"/>
  <c r="I4" i="5" s="1"/>
  <c r="J3" i="2"/>
  <c r="J4" i="5" s="1"/>
  <c r="K3" i="2"/>
  <c r="K4" i="5" s="1"/>
  <c r="L3" i="2"/>
  <c r="L4" i="5" s="1"/>
  <c r="M3" i="2"/>
  <c r="M4" i="5" s="1"/>
  <c r="C15" i="4"/>
  <c r="D15" i="4"/>
  <c r="E15" i="4"/>
  <c r="F15" i="4"/>
  <c r="G15" i="4"/>
  <c r="H15" i="4"/>
  <c r="I15" i="4"/>
  <c r="J15" i="4"/>
  <c r="K15" i="4"/>
  <c r="L15" i="4"/>
  <c r="M15" i="4"/>
  <c r="C9" i="4"/>
  <c r="D9" i="4"/>
  <c r="E9" i="4"/>
  <c r="F9" i="4"/>
  <c r="G9" i="4"/>
  <c r="H9" i="4"/>
  <c r="I9" i="4"/>
  <c r="J9" i="4"/>
  <c r="K9" i="4"/>
  <c r="L9" i="4"/>
  <c r="M9" i="4"/>
  <c r="C11" i="4"/>
  <c r="D11" i="4"/>
  <c r="E11" i="4"/>
  <c r="F11" i="4"/>
  <c r="G11" i="4"/>
  <c r="H11" i="4"/>
  <c r="I11" i="4"/>
  <c r="J11" i="4"/>
  <c r="K11" i="4"/>
  <c r="L11" i="4"/>
  <c r="M11" i="4"/>
  <c r="C4" i="4"/>
  <c r="D4" i="4"/>
  <c r="E4" i="4"/>
  <c r="F4" i="4"/>
  <c r="G4" i="4"/>
  <c r="H4" i="4"/>
  <c r="I4" i="4"/>
  <c r="J4" i="4"/>
  <c r="K4" i="4"/>
  <c r="L4" i="4"/>
  <c r="M4" i="4"/>
  <c r="C5" i="4"/>
  <c r="D5" i="4"/>
  <c r="E5" i="4"/>
  <c r="F5" i="4"/>
  <c r="G5" i="4"/>
  <c r="H5" i="4"/>
  <c r="I5" i="4"/>
  <c r="J5" i="4"/>
  <c r="K5" i="4"/>
  <c r="L5" i="4"/>
  <c r="M5" i="4"/>
  <c r="C6" i="4"/>
  <c r="D6" i="4"/>
  <c r="E6" i="4"/>
  <c r="F6" i="4"/>
  <c r="G6" i="4"/>
  <c r="H6" i="4"/>
  <c r="I6" i="4"/>
  <c r="J6" i="4"/>
  <c r="K6" i="4"/>
  <c r="L6" i="4"/>
  <c r="M6" i="4"/>
  <c r="C7" i="4"/>
  <c r="D7" i="4"/>
  <c r="E7" i="4"/>
  <c r="F7" i="4"/>
  <c r="G7" i="4"/>
  <c r="H7" i="4"/>
  <c r="I7" i="4"/>
  <c r="J7" i="4"/>
  <c r="K7" i="4"/>
  <c r="L7" i="4"/>
  <c r="M7" i="4"/>
  <c r="C8" i="4"/>
  <c r="D8" i="4"/>
  <c r="E8" i="4"/>
  <c r="F8" i="4"/>
  <c r="G8" i="4"/>
  <c r="H8" i="4"/>
  <c r="I8" i="4"/>
  <c r="J8" i="4"/>
  <c r="K8" i="4"/>
  <c r="L8" i="4"/>
  <c r="M8" i="4"/>
  <c r="B6" i="4"/>
  <c r="B7" i="4"/>
  <c r="B8" i="4"/>
  <c r="B5" i="4"/>
  <c r="B4" i="4"/>
  <c r="C4" i="1"/>
  <c r="D4" i="1"/>
  <c r="E4" i="1"/>
  <c r="F4" i="1"/>
  <c r="G4" i="1"/>
  <c r="H4" i="1"/>
  <c r="I4" i="1"/>
  <c r="J4" i="1"/>
  <c r="K4" i="1"/>
  <c r="L4" i="1"/>
  <c r="M4" i="1"/>
  <c r="C5" i="1"/>
  <c r="D5" i="1"/>
  <c r="E5" i="1"/>
  <c r="F5" i="1"/>
  <c r="G5" i="1"/>
  <c r="H5" i="1"/>
  <c r="I5" i="1"/>
  <c r="J5" i="1"/>
  <c r="K5" i="1"/>
  <c r="L5" i="1"/>
  <c r="M5" i="1"/>
  <c r="C6" i="1"/>
  <c r="D6" i="1"/>
  <c r="E6" i="1"/>
  <c r="F6" i="1"/>
  <c r="G6" i="1"/>
  <c r="H6" i="1"/>
  <c r="I6" i="1"/>
  <c r="J6" i="1"/>
  <c r="K6" i="1"/>
  <c r="L6" i="1"/>
  <c r="M6" i="1"/>
  <c r="C7" i="1"/>
  <c r="D7" i="1"/>
  <c r="E7" i="1"/>
  <c r="F7" i="1"/>
  <c r="G7" i="1"/>
  <c r="H7" i="1"/>
  <c r="I7" i="1"/>
  <c r="J7" i="1"/>
  <c r="K7" i="1"/>
  <c r="L7" i="1"/>
  <c r="M7" i="1"/>
  <c r="B7" i="1"/>
  <c r="B6" i="1"/>
  <c r="B5" i="1"/>
  <c r="B4" i="1"/>
  <c r="B3" i="1"/>
  <c r="C3" i="1"/>
  <c r="D3" i="1"/>
  <c r="E3" i="1"/>
  <c r="F3" i="1"/>
  <c r="G3" i="1"/>
  <c r="H3" i="1"/>
  <c r="I3" i="1"/>
  <c r="J3" i="1"/>
  <c r="K3" i="1"/>
  <c r="L3" i="1"/>
  <c r="M3" i="1"/>
  <c r="I12" i="2" l="1"/>
  <c r="J4" i="2"/>
  <c r="J10" i="2" s="1"/>
  <c r="D4" i="2"/>
  <c r="D10" i="2" s="1"/>
  <c r="H4" i="2"/>
  <c r="H10" i="2" s="1"/>
  <c r="L12" i="2"/>
  <c r="K12" i="2"/>
  <c r="E12" i="2"/>
  <c r="L4" i="2"/>
  <c r="L10" i="2" s="1"/>
  <c r="F4" i="2"/>
  <c r="F10" i="2" s="1"/>
  <c r="J12" i="2"/>
  <c r="D12" i="2"/>
  <c r="I4" i="2"/>
  <c r="I10" i="2" s="1"/>
  <c r="C4" i="2"/>
  <c r="C10" i="2" s="1"/>
  <c r="C12" i="2"/>
  <c r="K4" i="2"/>
  <c r="K10" i="2" s="1"/>
  <c r="E4" i="2"/>
  <c r="E10" i="2" s="1"/>
  <c r="H12" i="2"/>
  <c r="C3" i="3"/>
  <c r="D4" i="3"/>
  <c r="B3" i="3"/>
  <c r="B9" i="3" s="1"/>
  <c r="B15" i="3"/>
  <c r="K3" i="4"/>
  <c r="E3" i="4"/>
  <c r="J3" i="4"/>
  <c r="D3" i="4"/>
  <c r="M3" i="4"/>
  <c r="G3" i="4"/>
  <c r="L3" i="4"/>
  <c r="F3" i="4"/>
  <c r="I3" i="4"/>
  <c r="C3" i="4"/>
  <c r="B3" i="4"/>
  <c r="H3" i="4"/>
  <c r="B5" i="5"/>
  <c r="D3" i="3" l="1"/>
  <c r="E4" i="3"/>
  <c r="B5" i="2"/>
  <c r="C7" i="3" s="1"/>
  <c r="B8" i="1"/>
  <c r="M8" i="1"/>
  <c r="I8" i="1"/>
  <c r="I12" i="4" s="1"/>
  <c r="L8" i="1"/>
  <c r="G8" i="1"/>
  <c r="G12" i="4" s="1"/>
  <c r="F8" i="1"/>
  <c r="K8" i="1"/>
  <c r="H8" i="1"/>
  <c r="H12" i="4" s="1"/>
  <c r="E8" i="1"/>
  <c r="D8" i="1"/>
  <c r="D12" i="4" s="1"/>
  <c r="J8" i="1"/>
  <c r="C8" i="1"/>
  <c r="C12" i="4" s="1"/>
  <c r="D7" i="3" l="1"/>
  <c r="E3" i="3"/>
  <c r="F4" i="3"/>
  <c r="B3" i="2"/>
  <c r="B11" i="4"/>
  <c r="J12" i="4"/>
  <c r="M3" i="5"/>
  <c r="M12" i="4"/>
  <c r="L3" i="5"/>
  <c r="L12" i="4"/>
  <c r="E3" i="5"/>
  <c r="E12" i="4"/>
  <c r="F3" i="5"/>
  <c r="F12" i="4"/>
  <c r="K3" i="5"/>
  <c r="K12" i="4"/>
  <c r="H3" i="5"/>
  <c r="C3" i="5"/>
  <c r="J3" i="5"/>
  <c r="G3" i="5"/>
  <c r="D3" i="5"/>
  <c r="I3" i="5"/>
  <c r="K5" i="5"/>
  <c r="J11" i="2"/>
  <c r="E5" i="5"/>
  <c r="D11" i="2"/>
  <c r="H11" i="2"/>
  <c r="I5" i="5"/>
  <c r="I10" i="5" s="1"/>
  <c r="G11" i="2"/>
  <c r="H5" i="5"/>
  <c r="C11" i="2"/>
  <c r="D5" i="5"/>
  <c r="E10" i="5" l="1"/>
  <c r="H10" i="5"/>
  <c r="B4" i="5"/>
  <c r="B3" i="5" s="1"/>
  <c r="B10" i="5" s="1"/>
  <c r="B12" i="5" s="1"/>
  <c r="C11" i="5" s="1"/>
  <c r="C8" i="3" s="1"/>
  <c r="C5" i="3" s="1"/>
  <c r="C9" i="3" s="1"/>
  <c r="B12" i="2"/>
  <c r="E7" i="3"/>
  <c r="D10" i="5"/>
  <c r="K10" i="5"/>
  <c r="F3" i="3"/>
  <c r="G4" i="3"/>
  <c r="B9" i="4"/>
  <c r="C5" i="5" s="1"/>
  <c r="F5" i="5"/>
  <c r="F10" i="5" s="1"/>
  <c r="M11" i="2"/>
  <c r="B12" i="4"/>
  <c r="B7" i="2" s="1"/>
  <c r="F11" i="2"/>
  <c r="E11" i="2"/>
  <c r="L5" i="5"/>
  <c r="L10" i="5" s="1"/>
  <c r="K11" i="2"/>
  <c r="G5" i="5"/>
  <c r="G10" i="5" s="1"/>
  <c r="L11" i="2"/>
  <c r="M5" i="5"/>
  <c r="I11" i="2"/>
  <c r="J5" i="5"/>
  <c r="J10" i="5" s="1"/>
  <c r="M10" i="5" l="1"/>
  <c r="N10" i="5" s="1"/>
  <c r="N5" i="5"/>
  <c r="F7" i="3"/>
  <c r="G3" i="3"/>
  <c r="H4" i="3"/>
  <c r="C10" i="5"/>
  <c r="C12" i="5" s="1"/>
  <c r="B6" i="2"/>
  <c r="B15" i="4"/>
  <c r="G7" i="3" l="1"/>
  <c r="B4" i="2"/>
  <c r="B10" i="2" s="1"/>
  <c r="C12" i="3" s="1"/>
  <c r="D12" i="3" s="1"/>
  <c r="E12" i="3" s="1"/>
  <c r="F12" i="3" s="1"/>
  <c r="G12" i="3" s="1"/>
  <c r="H12" i="3" s="1"/>
  <c r="I12" i="3" s="1"/>
  <c r="J12" i="3" s="1"/>
  <c r="K12" i="3" s="1"/>
  <c r="L12" i="3" s="1"/>
  <c r="M12" i="3" s="1"/>
  <c r="C14" i="3"/>
  <c r="I4" i="3"/>
  <c r="H3" i="3"/>
  <c r="D11" i="5"/>
  <c r="D14" i="3" l="1"/>
  <c r="C13" i="3"/>
  <c r="B11" i="2"/>
  <c r="D12" i="5"/>
  <c r="D8" i="3"/>
  <c r="D5" i="3" s="1"/>
  <c r="D9" i="3" s="1"/>
  <c r="C10" i="3"/>
  <c r="H7" i="3"/>
  <c r="I3" i="3"/>
  <c r="J4" i="3"/>
  <c r="D10" i="3"/>
  <c r="E11" i="5"/>
  <c r="C15" i="3" l="1"/>
  <c r="C17" i="3" s="1"/>
  <c r="I7" i="3"/>
  <c r="E14" i="3"/>
  <c r="D13" i="3"/>
  <c r="D15" i="3" s="1"/>
  <c r="D17" i="3" s="1"/>
  <c r="E12" i="5"/>
  <c r="F11" i="5" s="1"/>
  <c r="E8" i="3"/>
  <c r="E5" i="3" s="1"/>
  <c r="E9" i="3" s="1"/>
  <c r="J3" i="3"/>
  <c r="K4" i="3"/>
  <c r="E10" i="3"/>
  <c r="F14" i="3" l="1"/>
  <c r="E13" i="3"/>
  <c r="E15" i="3" s="1"/>
  <c r="E17" i="3" s="1"/>
  <c r="F12" i="5"/>
  <c r="G11" i="5" s="1"/>
  <c r="F8" i="3"/>
  <c r="F5" i="3" s="1"/>
  <c r="F9" i="3" s="1"/>
  <c r="J7" i="3"/>
  <c r="L4" i="3"/>
  <c r="K3" i="3"/>
  <c r="F10" i="3"/>
  <c r="G12" i="5" l="1"/>
  <c r="H11" i="5" s="1"/>
  <c r="G8" i="3"/>
  <c r="G5" i="3" s="1"/>
  <c r="G9" i="3" s="1"/>
  <c r="K7" i="3"/>
  <c r="G14" i="3"/>
  <c r="F13" i="3"/>
  <c r="F15" i="3" s="1"/>
  <c r="F17" i="3" s="1"/>
  <c r="M4" i="3"/>
  <c r="L3" i="3"/>
  <c r="G10" i="3"/>
  <c r="L7" i="3" l="1"/>
  <c r="G13" i="3"/>
  <c r="G15" i="3" s="1"/>
  <c r="G17" i="3" s="1"/>
  <c r="H14" i="3"/>
  <c r="H12" i="5"/>
  <c r="I11" i="5" s="1"/>
  <c r="H8" i="3"/>
  <c r="H5" i="3" s="1"/>
  <c r="H9" i="3" s="1"/>
  <c r="M3" i="3"/>
  <c r="H10" i="3"/>
  <c r="I14" i="3" l="1"/>
  <c r="H13" i="3"/>
  <c r="M7" i="3"/>
  <c r="H15" i="3"/>
  <c r="H17" i="3" s="1"/>
  <c r="I12" i="5"/>
  <c r="J11" i="5" s="1"/>
  <c r="I8" i="3"/>
  <c r="I5" i="3" s="1"/>
  <c r="I9" i="3" s="1"/>
  <c r="I10" i="3"/>
  <c r="J12" i="5" l="1"/>
  <c r="K11" i="5" s="1"/>
  <c r="J8" i="3"/>
  <c r="J5" i="3" s="1"/>
  <c r="J9" i="3" s="1"/>
  <c r="J14" i="3"/>
  <c r="I13" i="3"/>
  <c r="I15" i="3" s="1"/>
  <c r="I17" i="3" s="1"/>
  <c r="J10" i="3"/>
  <c r="K14" i="3" l="1"/>
  <c r="J13" i="3"/>
  <c r="J15" i="3"/>
  <c r="J17" i="3" s="1"/>
  <c r="K12" i="5"/>
  <c r="L11" i="5" s="1"/>
  <c r="K8" i="3"/>
  <c r="K5" i="3" s="1"/>
  <c r="K9" i="3" s="1"/>
  <c r="K10" i="3"/>
  <c r="L12" i="5" l="1"/>
  <c r="M11" i="5" s="1"/>
  <c r="L8" i="3"/>
  <c r="L5" i="3" s="1"/>
  <c r="L9" i="3" s="1"/>
  <c r="K13" i="3"/>
  <c r="K15" i="3" s="1"/>
  <c r="K17" i="3" s="1"/>
  <c r="L14" i="3"/>
  <c r="L10" i="3"/>
  <c r="M14" i="3" l="1"/>
  <c r="M13" i="3" s="1"/>
  <c r="L13" i="3"/>
  <c r="L15" i="3" s="1"/>
  <c r="L17" i="3" s="1"/>
  <c r="M12" i="5"/>
  <c r="M8" i="3"/>
  <c r="M5" i="3" s="1"/>
  <c r="M9" i="3" s="1"/>
  <c r="M10" i="3"/>
  <c r="M15" i="3" l="1"/>
  <c r="M17" i="3" s="1"/>
</calcChain>
</file>

<file path=xl/sharedStrings.xml><?xml version="1.0" encoding="utf-8"?>
<sst xmlns="http://schemas.openxmlformats.org/spreadsheetml/2006/main" count="148" uniqueCount="78">
  <si>
    <t>Итого</t>
  </si>
  <si>
    <t>Зарплата</t>
  </si>
  <si>
    <t>Аренда</t>
  </si>
  <si>
    <t>Показатели</t>
  </si>
  <si>
    <t>аренда</t>
  </si>
  <si>
    <t>Операционная прибыль</t>
  </si>
  <si>
    <t>Сальдо на начало периода</t>
  </si>
  <si>
    <t>Сальдо на конец периода</t>
  </si>
  <si>
    <t>Денежные средства</t>
  </si>
  <si>
    <t>Основные средства</t>
  </si>
  <si>
    <t>Количество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</si>
  <si>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</si>
  <si>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</si>
  <si>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</si>
  <si>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</si>
  <si>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</si>
  <si>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</si>
  <si>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</si>
  <si>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</si>
  <si>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</si>
  <si>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</si>
  <si>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</si>
  <si>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</si>
  <si>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зарплата</t>
  </si>
  <si>
    <t>Дебиторская задолженность</t>
  </si>
  <si>
    <t>Кредиторская задолженность</t>
  </si>
  <si>
    <t>Номенклатурные позиции, цена и плановые продажи</t>
  </si>
  <si>
    <t>Наименование номенклатурной позиции</t>
  </si>
  <si>
    <t>Товар 1</t>
  </si>
  <si>
    <t>Товар 2</t>
  </si>
  <si>
    <t>Товар 3</t>
  </si>
  <si>
    <t>Товар 4</t>
  </si>
  <si>
    <t>Товар 5</t>
  </si>
  <si>
    <t>План по доходам, тыс. руб.</t>
  </si>
  <si>
    <t>План по расходам, тыс. руб.</t>
  </si>
  <si>
    <t>Элементы расходов</t>
  </si>
  <si>
    <t>Цена продажи без НДС, руб.</t>
  </si>
  <si>
    <t>Цена покупки без НДС, руб.</t>
  </si>
  <si>
    <t>Социальные отчисления (30,2%)</t>
  </si>
  <si>
    <t>Амортизация</t>
  </si>
  <si>
    <t>Плановый отчет о финансовых результатах, тыс. руб.</t>
  </si>
  <si>
    <t>Рентабельность продаж, %</t>
  </si>
  <si>
    <t>Точка безубыточности, тыс. руб.</t>
  </si>
  <si>
    <t>социальные отчисления</t>
  </si>
  <si>
    <t>материальные расходы</t>
  </si>
  <si>
    <t>товар 1</t>
  </si>
  <si>
    <t>товар 2</t>
  </si>
  <si>
    <t>товар 3</t>
  </si>
  <si>
    <t>товар 4</t>
  </si>
  <si>
    <t>товар 5</t>
  </si>
  <si>
    <t>постоянная часть</t>
  </si>
  <si>
    <t>переменная часть</t>
  </si>
  <si>
    <t>Выручка</t>
  </si>
  <si>
    <t>амортизация</t>
  </si>
  <si>
    <t>Плановый отчет о движении денежных средств, тыс. руб.</t>
  </si>
  <si>
    <t>от продажи товаров</t>
  </si>
  <si>
    <t>поставщикам за товары</t>
  </si>
  <si>
    <t>Плановый баланс, тыс. руб.</t>
  </si>
  <si>
    <t>Внеоборотные активы</t>
  </si>
  <si>
    <t>Оборотные активы</t>
  </si>
  <si>
    <t>Запасы</t>
  </si>
  <si>
    <t>Актив</t>
  </si>
  <si>
    <t>Уставный капитал</t>
  </si>
  <si>
    <t>Нераспределенная прибыль</t>
  </si>
  <si>
    <t>Пассив</t>
  </si>
  <si>
    <t>Капитал и резервы</t>
  </si>
  <si>
    <t>Обязательства</t>
  </si>
  <si>
    <t>Контрольная строка, отражающая равенство актива и пассива</t>
  </si>
  <si>
    <t>Постоянные расходы</t>
  </si>
  <si>
    <t>Переменные расходы</t>
  </si>
  <si>
    <t>Материальные расходы (стоимость приобретенных товаров без НДС), в том числе:</t>
  </si>
  <si>
    <t>Итого без НДС</t>
  </si>
  <si>
    <t>Справочно:</t>
  </si>
  <si>
    <t>Операционные расходы, в том числе:</t>
  </si>
  <si>
    <t>Поступления от текущих операций:</t>
  </si>
  <si>
    <t>Платежи по текущим операциям:</t>
  </si>
  <si>
    <t>Чистый денежный поток от текущих операций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</si>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</sst>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sz val="18"/>
      <color theme="0"/>
      <name val="Arial"/>
      <family val="2"/>
      <charset val="204"/>
    </font>
    <font>
      <i/>
      <sz val="12"/>
      <name val="Arial"/>
      <family val="2"/>
      <charset val="204"/>
    </font>
    <font>
      <sz val="12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vertical="center" wrapText="1"/>
    </xf>
    <xf numFmtId="3" fontId="5" fillId="4" borderId="17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5" fillId="4" borderId="8" xfId="0" applyNumberFormat="1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>
      <alignment vertical="center" wrapText="1"/>
    </xf>
    <xf numFmtId="3" fontId="5" fillId="4" borderId="29" xfId="0" applyNumberFormat="1" applyFont="1" applyFill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3" fontId="2" fillId="6" borderId="26" xfId="0" applyNumberFormat="1" applyFont="1" applyFill="1" applyBorder="1" applyAlignment="1">
      <alignment vertical="center" wrapText="1"/>
    </xf>
    <xf numFmtId="3" fontId="2" fillId="6" borderId="25" xfId="0" applyNumberFormat="1" applyFont="1" applyFill="1" applyBorder="1" applyAlignment="1">
      <alignment vertical="center" wrapText="1"/>
    </xf>
    <xf numFmtId="3" fontId="5" fillId="7" borderId="1" xfId="0" applyNumberFormat="1" applyFont="1" applyFill="1" applyBorder="1" applyAlignment="1">
      <alignment vertical="center" wrapText="1"/>
    </xf>
    <xf numFmtId="3" fontId="5" fillId="7" borderId="8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left" vertical="center" wrapText="1" indent="1"/>
    </xf>
    <xf numFmtId="3" fontId="5" fillId="7" borderId="3" xfId="0" applyNumberFormat="1" applyFont="1" applyFill="1" applyBorder="1" applyAlignment="1">
      <alignment horizontal="right" vertical="center" wrapText="1"/>
    </xf>
    <xf numFmtId="3" fontId="5" fillId="7" borderId="1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0" fontId="5" fillId="8" borderId="0" xfId="0" applyFont="1" applyFill="1" applyBorder="1" applyAlignment="1">
      <alignment horizontal="left" vertical="center" wrapText="1"/>
    </xf>
    <xf numFmtId="3" fontId="5" fillId="8" borderId="0" xfId="0" applyNumberFormat="1" applyFont="1" applyFill="1" applyBorder="1" applyAlignment="1">
      <alignment vertical="center" wrapText="1"/>
    </xf>
    <xf numFmtId="3" fontId="5" fillId="0" borderId="9" xfId="0" applyNumberFormat="1" applyFont="1" applyBorder="1" applyAlignment="1">
      <alignment horizontal="left" vertical="center" wrapText="1" indent="1"/>
    </xf>
    <xf numFmtId="3" fontId="5" fillId="0" borderId="22" xfId="0" applyNumberFormat="1" applyFont="1" applyBorder="1" applyAlignment="1">
      <alignment horizontal="left" vertical="center" wrapText="1" indent="1"/>
    </xf>
    <xf numFmtId="0" fontId="5" fillId="0" borderId="31" xfId="0" applyFont="1" applyBorder="1" applyAlignment="1">
      <alignment horizontal="left" vertical="center" wrapText="1" indent="1"/>
    </xf>
    <xf numFmtId="3" fontId="5" fillId="0" borderId="26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vertical="center" wrapText="1"/>
    </xf>
    <xf numFmtId="3" fontId="5" fillId="11" borderId="3" xfId="0" applyNumberFormat="1" applyFont="1" applyFill="1" applyBorder="1" applyAlignment="1">
      <alignment vertical="center" wrapText="1"/>
    </xf>
    <xf numFmtId="3" fontId="5" fillId="11" borderId="13" xfId="0" applyNumberFormat="1" applyFont="1" applyFill="1" applyBorder="1" applyAlignment="1">
      <alignment vertical="center" wrapText="1"/>
    </xf>
    <xf numFmtId="3" fontId="5" fillId="11" borderId="22" xfId="0" applyNumberFormat="1" applyFont="1" applyFill="1" applyBorder="1" applyAlignment="1">
      <alignment vertical="center" wrapText="1"/>
    </xf>
    <xf numFmtId="3" fontId="5" fillId="11" borderId="1" xfId="0" applyNumberFormat="1" applyFont="1" applyFill="1" applyBorder="1" applyAlignment="1">
      <alignment vertical="center" wrapText="1"/>
    </xf>
    <xf numFmtId="3" fontId="5" fillId="11" borderId="8" xfId="0" applyNumberFormat="1" applyFont="1" applyFill="1" applyBorder="1" applyAlignment="1">
      <alignment vertical="center" wrapText="1"/>
    </xf>
    <xf numFmtId="10" fontId="5" fillId="11" borderId="21" xfId="0" applyNumberFormat="1" applyFont="1" applyFill="1" applyBorder="1" applyAlignment="1">
      <alignment horizontal="left" vertical="center" wrapText="1" indent="1"/>
    </xf>
    <xf numFmtId="2" fontId="5" fillId="11" borderId="3" xfId="0" applyNumberFormat="1" applyFont="1" applyFill="1" applyBorder="1" applyAlignment="1">
      <alignment vertical="center" wrapText="1"/>
    </xf>
    <xf numFmtId="0" fontId="5" fillId="11" borderId="23" xfId="0" applyFont="1" applyFill="1" applyBorder="1" applyAlignment="1">
      <alignment horizontal="left" vertical="center" wrapText="1" indent="1"/>
    </xf>
    <xf numFmtId="3" fontId="5" fillId="11" borderId="11" xfId="0" applyNumberFormat="1" applyFont="1" applyFill="1" applyBorder="1" applyAlignment="1">
      <alignment vertical="center" wrapText="1"/>
    </xf>
    <xf numFmtId="3" fontId="5" fillId="11" borderId="12" xfId="0" applyNumberFormat="1" applyFont="1" applyFill="1" applyBorder="1" applyAlignment="1">
      <alignment vertical="center" wrapText="1"/>
    </xf>
    <xf numFmtId="0" fontId="3" fillId="0" borderId="0" xfId="0" applyFont="1"/>
    <xf numFmtId="3" fontId="3" fillId="0" borderId="0" xfId="0" applyNumberFormat="1" applyFont="1"/>
    <xf numFmtId="10" fontId="3" fillId="0" borderId="0" xfId="0" applyNumberFormat="1" applyFont="1" applyAlignment="1">
      <alignment horizontal="left"/>
    </xf>
    <xf numFmtId="10" fontId="3" fillId="0" borderId="0" xfId="0" applyNumberFormat="1" applyFont="1"/>
    <xf numFmtId="0" fontId="3" fillId="0" borderId="0" xfId="0" applyFont="1" applyAlignment="1">
      <alignment horizontal="left"/>
    </xf>
    <xf numFmtId="0" fontId="2" fillId="10" borderId="4" xfId="0" applyFont="1" applyFill="1" applyBorder="1" applyAlignment="1">
      <alignment horizontal="left" vertical="center" wrapText="1"/>
    </xf>
    <xf numFmtId="3" fontId="2" fillId="10" borderId="26" xfId="0" applyNumberFormat="1" applyFont="1" applyFill="1" applyBorder="1" applyAlignment="1">
      <alignment vertical="center" wrapText="1"/>
    </xf>
    <xf numFmtId="3" fontId="2" fillId="10" borderId="25" xfId="0" applyNumberFormat="1" applyFont="1" applyFill="1" applyBorder="1" applyAlignment="1">
      <alignment vertical="center" wrapText="1"/>
    </xf>
    <xf numFmtId="0" fontId="2" fillId="10" borderId="24" xfId="0" applyFont="1" applyFill="1" applyBorder="1" applyAlignment="1">
      <alignment horizontal="center"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horizontal="left" vertical="center" wrapText="1" indent="1"/>
    </xf>
    <xf numFmtId="3" fontId="2" fillId="11" borderId="26" xfId="0" applyNumberFormat="1" applyFont="1" applyFill="1" applyBorder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9" xfId="0" applyNumberFormat="1" applyFont="1" applyBorder="1" applyAlignment="1">
      <alignment horizontal="left" vertical="center" wrapText="1" indent="1"/>
    </xf>
    <xf numFmtId="164" fontId="2" fillId="10" borderId="24" xfId="0" applyNumberFormat="1" applyFont="1" applyFill="1" applyBorder="1" applyAlignment="1">
      <alignment horizontal="center" vertical="center" wrapText="1"/>
    </xf>
    <xf numFmtId="164" fontId="2" fillId="10" borderId="26" xfId="0" applyNumberFormat="1" applyFont="1" applyFill="1" applyBorder="1" applyAlignment="1">
      <alignment horizontal="center" vertical="center" wrapText="1"/>
    </xf>
    <xf numFmtId="164" fontId="2" fillId="10" borderId="25" xfId="0" applyNumberFormat="1" applyFont="1" applyFill="1" applyBorder="1" applyAlignment="1">
      <alignment horizontal="center" vertical="center" wrapText="1"/>
    </xf>
    <xf numFmtId="3" fontId="2" fillId="10" borderId="24" xfId="0" applyNumberFormat="1" applyFont="1" applyFill="1" applyBorder="1" applyAlignment="1">
      <alignment vertical="center" wrapText="1"/>
    </xf>
    <xf numFmtId="3" fontId="2" fillId="10" borderId="26" xfId="0" applyNumberFormat="1" applyFont="1" applyFill="1" applyBorder="1" applyAlignment="1">
      <alignment horizontal="right" vertical="center" wrapText="1"/>
    </xf>
    <xf numFmtId="3" fontId="2" fillId="10" borderId="25" xfId="0" applyNumberFormat="1" applyFont="1" applyFill="1" applyBorder="1" applyAlignment="1">
      <alignment horizontal="right" vertical="center" wrapText="1"/>
    </xf>
    <xf numFmtId="164" fontId="5" fillId="11" borderId="7" xfId="0" applyNumberFormat="1" applyFont="1" applyFill="1" applyBorder="1" applyAlignment="1">
      <alignment horizontal="left" vertical="center" wrapText="1"/>
    </xf>
    <xf numFmtId="3" fontId="5" fillId="11" borderId="3" xfId="0" applyNumberFormat="1" applyFont="1" applyFill="1" applyBorder="1" applyAlignment="1">
      <alignment horizontal="right" vertical="center" wrapText="1"/>
    </xf>
    <xf numFmtId="3" fontId="5" fillId="11" borderId="13" xfId="0" applyNumberFormat="1" applyFont="1" applyFill="1" applyBorder="1" applyAlignment="1">
      <alignment horizontal="right" vertical="center" wrapText="1"/>
    </xf>
    <xf numFmtId="164" fontId="5" fillId="11" borderId="9" xfId="0" applyNumberFormat="1" applyFont="1" applyFill="1" applyBorder="1" applyAlignment="1">
      <alignment horizontal="left" vertical="center" wrapText="1"/>
    </xf>
    <xf numFmtId="3" fontId="5" fillId="11" borderId="1" xfId="0" applyNumberFormat="1" applyFont="1" applyFill="1" applyBorder="1" applyAlignment="1">
      <alignment horizontal="right" vertical="center" wrapText="1"/>
    </xf>
    <xf numFmtId="3" fontId="5" fillId="11" borderId="8" xfId="0" applyNumberFormat="1" applyFont="1" applyFill="1" applyBorder="1" applyAlignment="1">
      <alignment horizontal="right" vertical="center" wrapText="1"/>
    </xf>
    <xf numFmtId="3" fontId="5" fillId="11" borderId="7" xfId="0" applyNumberFormat="1" applyFont="1" applyFill="1" applyBorder="1" applyAlignment="1">
      <alignment vertical="center" wrapText="1"/>
    </xf>
    <xf numFmtId="3" fontId="5" fillId="11" borderId="9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0" fontId="5" fillId="7" borderId="39" xfId="0" applyFont="1" applyFill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2" fillId="6" borderId="37" xfId="0" applyFont="1" applyFill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5" fillId="7" borderId="9" xfId="0" applyNumberFormat="1" applyFont="1" applyFill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0" fontId="2" fillId="6" borderId="24" xfId="0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vertical="center" wrapText="1"/>
    </xf>
    <xf numFmtId="3" fontId="2" fillId="6" borderId="24" xfId="0" applyNumberFormat="1" applyFont="1" applyFill="1" applyBorder="1" applyAlignment="1">
      <alignment vertical="center" wrapText="1"/>
    </xf>
    <xf numFmtId="0" fontId="5" fillId="7" borderId="38" xfId="0" applyFont="1" applyFill="1" applyBorder="1" applyAlignment="1">
      <alignment vertical="center" wrapText="1"/>
    </xf>
    <xf numFmtId="0" fontId="5" fillId="0" borderId="39" xfId="0" applyFont="1" applyBorder="1" applyAlignment="1">
      <alignment horizontal="left" vertical="center" wrapText="1" indent="1"/>
    </xf>
    <xf numFmtId="0" fontId="5" fillId="7" borderId="40" xfId="0" applyFont="1" applyFill="1" applyBorder="1" applyAlignment="1">
      <alignment vertical="center" wrapText="1"/>
    </xf>
    <xf numFmtId="3" fontId="5" fillId="7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7" borderId="7" xfId="0" applyNumberFormat="1" applyFont="1" applyFill="1" applyBorder="1" applyAlignment="1">
      <alignment horizontal="right" vertical="center" wrapText="1"/>
    </xf>
    <xf numFmtId="3" fontId="5" fillId="6" borderId="10" xfId="0" applyNumberFormat="1" applyFont="1" applyFill="1" applyBorder="1" applyAlignment="1">
      <alignment horizontal="right" vertical="center" wrapText="1"/>
    </xf>
    <xf numFmtId="3" fontId="5" fillId="6" borderId="11" xfId="0" applyNumberFormat="1" applyFont="1" applyFill="1" applyBorder="1" applyAlignment="1">
      <alignment horizontal="right" vertical="center" wrapText="1"/>
    </xf>
    <xf numFmtId="3" fontId="5" fillId="6" borderId="12" xfId="0" applyNumberFormat="1" applyFont="1" applyFill="1" applyBorder="1" applyAlignment="1">
      <alignment horizontal="right" vertical="center" wrapText="1"/>
    </xf>
    <xf numFmtId="3" fontId="5" fillId="7" borderId="13" xfId="0" applyNumberFormat="1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11" borderId="44" xfId="0" applyNumberFormat="1" applyFont="1" applyFill="1" applyBorder="1" applyAlignment="1">
      <alignment vertical="center" wrapText="1"/>
    </xf>
    <xf numFmtId="3" fontId="5" fillId="11" borderId="45" xfId="0" applyNumberFormat="1" applyFont="1" applyFill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3" fontId="5" fillId="0" borderId="46" xfId="0" applyNumberFormat="1" applyFont="1" applyBorder="1" applyAlignment="1">
      <alignment vertical="center" wrapText="1"/>
    </xf>
    <xf numFmtId="3" fontId="2" fillId="10" borderId="47" xfId="0" applyNumberFormat="1" applyFont="1" applyFill="1" applyBorder="1" applyAlignment="1">
      <alignment vertical="center" wrapText="1"/>
    </xf>
    <xf numFmtId="2" fontId="5" fillId="11" borderId="44" xfId="0" applyNumberFormat="1" applyFont="1" applyFill="1" applyBorder="1" applyAlignment="1">
      <alignment vertical="center" wrapText="1"/>
    </xf>
    <xf numFmtId="3" fontId="5" fillId="11" borderId="48" xfId="0" applyNumberFormat="1" applyFont="1" applyFill="1" applyBorder="1" applyAlignment="1">
      <alignment vertical="center" wrapText="1"/>
    </xf>
    <xf numFmtId="0" fontId="2" fillId="10" borderId="47" xfId="0" applyFont="1" applyFill="1" applyBorder="1" applyAlignment="1">
      <alignment horizontal="center" vertical="center" wrapText="1"/>
    </xf>
    <xf numFmtId="3" fontId="5" fillId="11" borderId="9" xfId="0" applyNumberFormat="1" applyFont="1" applyFill="1" applyBorder="1" applyAlignment="1">
      <alignment vertical="center" wrapText="1"/>
    </xf>
    <xf numFmtId="2" fontId="5" fillId="11" borderId="7" xfId="0" applyNumberFormat="1" applyFont="1" applyFill="1" applyBorder="1" applyAlignment="1">
      <alignment vertical="center" wrapText="1"/>
    </xf>
    <xf numFmtId="3" fontId="5" fillId="11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11" borderId="37" xfId="0" applyFont="1" applyFill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wrapText="1" indent="1"/>
    </xf>
    <xf numFmtId="3" fontId="5" fillId="0" borderId="39" xfId="0" applyNumberFormat="1" applyFont="1" applyBorder="1" applyAlignment="1">
      <alignment horizontal="left" vertical="center" wrapText="1" indent="1"/>
    </xf>
    <xf numFmtId="3" fontId="5" fillId="0" borderId="40" xfId="0" applyNumberFormat="1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 wrapText="1"/>
    </xf>
    <xf numFmtId="0" fontId="2" fillId="10" borderId="51" xfId="0" applyFont="1" applyFill="1" applyBorder="1" applyAlignment="1">
      <alignment horizontal="center" vertical="center" wrapText="1"/>
    </xf>
    <xf numFmtId="0" fontId="2" fillId="10" borderId="52" xfId="0" applyFont="1" applyFill="1" applyBorder="1" applyAlignment="1">
      <alignment horizontal="center" vertical="center" wrapText="1"/>
    </xf>
    <xf numFmtId="0" fontId="2" fillId="10" borderId="53" xfId="0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2" fillId="11" borderId="24" xfId="0" applyNumberFormat="1" applyFont="1" applyFill="1" applyBorder="1" applyAlignment="1">
      <alignment vertical="center" wrapText="1"/>
    </xf>
    <xf numFmtId="3" fontId="2" fillId="11" borderId="25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9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2">
    <dxf>
      <font>
        <strike val="0"/>
        <color theme="5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Дерево">
  <a:themeElements>
    <a:clrScheme name="Дерево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Дерево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Дерево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N15"/>
  <sheetViews>
    <sheetView tabSelected="1" zoomScale="120" zoomScaleNormal="120" workbookViewId="0">
      <selection activeCell="A15" sqref="A15"/>
    </sheetView>
  </sheetViews>
  <sheetFormatPr defaultRowHeight="15" x14ac:dyDescent="0.2"/>
  <cols>
    <col min="1" max="1" width="22.7109375" style="3" customWidth="1"/>
    <col min="2" max="2" width="13.5703125" style="3" customWidth="1"/>
    <col min="3" max="14" width="12.140625" style="3" customWidth="1"/>
    <col min="15" max="16384" width="9.140625" style="3"/>
  </cols>
  <sheetData>
    <row r="1" spans="1:14" ht="51" customHeight="1" thickBot="1" x14ac:dyDescent="0.25">
      <c r="A1" s="164" t="s">
        <v>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34.5" customHeight="1" x14ac:dyDescent="0.2">
      <c r="A2" s="162" t="s">
        <v>27</v>
      </c>
      <c r="B2" s="158" t="s">
        <v>36</v>
      </c>
      <c r="C2" s="160" t="s">
        <v>10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</row>
    <row r="3" spans="1:14" ht="34.5" customHeight="1" thickBot="1" x14ac:dyDescent="0.25">
      <c r="A3" s="163"/>
      <c r="B3" s="159"/>
      <c r="C3" s="17" t="s">
        <v>11</v>
      </c>
      <c r="D3" s="17" t="s">
        <v>12</v>
      </c>
      <c r="E3" s="17" t="s">
        <v>13</v>
      </c>
      <c r="F3" s="17" t="s">
        <v>14</v>
      </c>
      <c r="G3" s="17" t="s">
        <v>15</v>
      </c>
      <c r="H3" s="17" t="s">
        <v>16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8" t="s">
        <v>22</v>
      </c>
    </row>
    <row r="4" spans="1:14" x14ac:dyDescent="0.2">
      <c r="A4" s="14" t="s">
        <v>28</v>
      </c>
      <c r="B4" s="11">
        <v>12000</v>
      </c>
      <c r="C4" s="9">
        <v>55</v>
      </c>
      <c r="D4" s="9">
        <v>55</v>
      </c>
      <c r="E4" s="9">
        <v>55</v>
      </c>
      <c r="F4" s="9">
        <v>70</v>
      </c>
      <c r="G4" s="9">
        <v>70</v>
      </c>
      <c r="H4" s="9">
        <v>90</v>
      </c>
      <c r="I4" s="9">
        <v>90</v>
      </c>
      <c r="J4" s="9">
        <v>90</v>
      </c>
      <c r="K4" s="9">
        <v>60</v>
      </c>
      <c r="L4" s="9">
        <v>55</v>
      </c>
      <c r="M4" s="9">
        <v>55</v>
      </c>
      <c r="N4" s="10">
        <v>55</v>
      </c>
    </row>
    <row r="5" spans="1:14" x14ac:dyDescent="0.2">
      <c r="A5" s="19" t="s">
        <v>29</v>
      </c>
      <c r="B5" s="20">
        <v>15000</v>
      </c>
      <c r="C5" s="21">
        <v>150</v>
      </c>
      <c r="D5" s="21">
        <v>150</v>
      </c>
      <c r="E5" s="21">
        <v>170</v>
      </c>
      <c r="F5" s="21">
        <v>180</v>
      </c>
      <c r="G5" s="21">
        <v>180</v>
      </c>
      <c r="H5" s="21">
        <v>180</v>
      </c>
      <c r="I5" s="21">
        <v>180</v>
      </c>
      <c r="J5" s="21">
        <v>180</v>
      </c>
      <c r="K5" s="21">
        <v>170</v>
      </c>
      <c r="L5" s="21">
        <v>170</v>
      </c>
      <c r="M5" s="21">
        <v>170</v>
      </c>
      <c r="N5" s="22">
        <v>160</v>
      </c>
    </row>
    <row r="6" spans="1:14" x14ac:dyDescent="0.2">
      <c r="A6" s="15" t="s">
        <v>30</v>
      </c>
      <c r="B6" s="12">
        <v>23000</v>
      </c>
      <c r="C6" s="4">
        <v>100</v>
      </c>
      <c r="D6" s="4">
        <v>115</v>
      </c>
      <c r="E6" s="4">
        <v>120</v>
      </c>
      <c r="F6" s="4">
        <v>125</v>
      </c>
      <c r="G6" s="4">
        <v>130</v>
      </c>
      <c r="H6" s="4">
        <v>150</v>
      </c>
      <c r="I6" s="4">
        <v>150</v>
      </c>
      <c r="J6" s="4">
        <v>150</v>
      </c>
      <c r="K6" s="4">
        <v>150</v>
      </c>
      <c r="L6" s="4">
        <v>150</v>
      </c>
      <c r="M6" s="4">
        <v>150</v>
      </c>
      <c r="N6" s="6">
        <v>150</v>
      </c>
    </row>
    <row r="7" spans="1:14" x14ac:dyDescent="0.2">
      <c r="A7" s="19" t="s">
        <v>31</v>
      </c>
      <c r="B7" s="20">
        <v>34000</v>
      </c>
      <c r="C7" s="21">
        <v>75</v>
      </c>
      <c r="D7" s="21">
        <v>75</v>
      </c>
      <c r="E7" s="21">
        <v>75</v>
      </c>
      <c r="F7" s="21">
        <v>90</v>
      </c>
      <c r="G7" s="21">
        <v>90</v>
      </c>
      <c r="H7" s="21">
        <v>170</v>
      </c>
      <c r="I7" s="21">
        <v>170</v>
      </c>
      <c r="J7" s="21">
        <v>170</v>
      </c>
      <c r="K7" s="21">
        <v>150</v>
      </c>
      <c r="L7" s="21">
        <v>75</v>
      </c>
      <c r="M7" s="21">
        <v>75</v>
      </c>
      <c r="N7" s="22">
        <v>75</v>
      </c>
    </row>
    <row r="8" spans="1:14" ht="15.75" thickBot="1" x14ac:dyDescent="0.25">
      <c r="A8" s="16" t="s">
        <v>32</v>
      </c>
      <c r="B8" s="13">
        <v>48000</v>
      </c>
      <c r="C8" s="7">
        <v>40</v>
      </c>
      <c r="D8" s="7">
        <v>40</v>
      </c>
      <c r="E8" s="7">
        <v>40</v>
      </c>
      <c r="F8" s="7">
        <v>40</v>
      </c>
      <c r="G8" s="7">
        <v>40</v>
      </c>
      <c r="H8" s="7">
        <v>40</v>
      </c>
      <c r="I8" s="7">
        <v>40</v>
      </c>
      <c r="J8" s="7">
        <v>40</v>
      </c>
      <c r="K8" s="7">
        <v>40</v>
      </c>
      <c r="L8" s="7">
        <v>40</v>
      </c>
      <c r="M8" s="7">
        <v>40</v>
      </c>
      <c r="N8" s="8">
        <v>40</v>
      </c>
    </row>
    <row r="9" spans="1:14" ht="15.75" thickBot="1" x14ac:dyDescent="0.25"/>
    <row r="10" spans="1:14" ht="63.75" thickBot="1" x14ac:dyDescent="0.25">
      <c r="A10" s="28" t="s">
        <v>27</v>
      </c>
      <c r="B10" s="23" t="s">
        <v>37</v>
      </c>
    </row>
    <row r="11" spans="1:14" x14ac:dyDescent="0.2">
      <c r="A11" s="14" t="s">
        <v>28</v>
      </c>
      <c r="B11" s="24">
        <v>4000</v>
      </c>
    </row>
    <row r="12" spans="1:14" x14ac:dyDescent="0.2">
      <c r="A12" s="19" t="s">
        <v>29</v>
      </c>
      <c r="B12" s="25">
        <v>7000</v>
      </c>
    </row>
    <row r="13" spans="1:14" x14ac:dyDescent="0.2">
      <c r="A13" s="15" t="s">
        <v>30</v>
      </c>
      <c r="B13" s="26">
        <v>10000</v>
      </c>
    </row>
    <row r="14" spans="1:14" x14ac:dyDescent="0.2">
      <c r="A14" s="19" t="s">
        <v>31</v>
      </c>
      <c r="B14" s="25">
        <v>18000</v>
      </c>
    </row>
    <row r="15" spans="1:14" ht="15.75" thickBot="1" x14ac:dyDescent="0.25">
      <c r="A15" s="16" t="s">
        <v>32</v>
      </c>
      <c r="B15" s="27">
        <v>31000</v>
      </c>
    </row>
  </sheetData>
  <mergeCells count="4">
    <mergeCell ref="B2:B3"/>
    <mergeCell ref="C2:N2"/>
    <mergeCell ref="A2:A3"/>
    <mergeCell ref="A1:N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N8"/>
  <sheetViews>
    <sheetView zoomScale="120" zoomScaleNormal="120" workbookViewId="0">
      <selection sqref="A1:N1"/>
    </sheetView>
  </sheetViews>
  <sheetFormatPr defaultRowHeight="12.75" x14ac:dyDescent="0.2"/>
  <cols>
    <col min="1" max="1" width="22.7109375" style="1" customWidth="1"/>
    <col min="2" max="14" width="12.140625" style="1" customWidth="1"/>
    <col min="15" max="16384" width="9.140625" style="1"/>
  </cols>
  <sheetData>
    <row r="1" spans="1:14" ht="51.75" customHeight="1" thickBot="1" x14ac:dyDescent="0.25">
      <c r="A1" s="165" t="s">
        <v>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s="3" customFormat="1" ht="48" thickBot="1" x14ac:dyDescent="0.25">
      <c r="A2" s="100" t="s">
        <v>27</v>
      </c>
      <c r="B2" s="109" t="s">
        <v>11</v>
      </c>
      <c r="C2" s="31" t="s">
        <v>12</v>
      </c>
      <c r="D2" s="31" t="s">
        <v>13</v>
      </c>
      <c r="E2" s="31" t="s">
        <v>14</v>
      </c>
      <c r="F2" s="31" t="s">
        <v>15</v>
      </c>
      <c r="G2" s="31" t="s">
        <v>16</v>
      </c>
      <c r="H2" s="31" t="s">
        <v>17</v>
      </c>
      <c r="I2" s="31" t="s">
        <v>18</v>
      </c>
      <c r="J2" s="31" t="s">
        <v>19</v>
      </c>
      <c r="K2" s="31" t="s">
        <v>20</v>
      </c>
      <c r="L2" s="31" t="s">
        <v>21</v>
      </c>
      <c r="M2" s="31" t="s">
        <v>22</v>
      </c>
      <c r="N2" s="32" t="s">
        <v>0</v>
      </c>
    </row>
    <row r="3" spans="1:14" s="3" customFormat="1" ht="15" x14ac:dyDescent="0.2">
      <c r="A3" s="101" t="s">
        <v>28</v>
      </c>
      <c r="B3" s="108">
        <f>'Исходные данные'!$B4*'Исходные данные'!C4/1000</f>
        <v>660</v>
      </c>
      <c r="C3" s="9">
        <f>'Исходные данные'!$B$4*'Исходные данные'!D4/1000</f>
        <v>660</v>
      </c>
      <c r="D3" s="9">
        <f>'Исходные данные'!$B$4*'Исходные данные'!E4/1000</f>
        <v>660</v>
      </c>
      <c r="E3" s="9">
        <f>'Исходные данные'!$B$4*'Исходные данные'!F4/1000</f>
        <v>840</v>
      </c>
      <c r="F3" s="9">
        <f>'Исходные данные'!$B$4*'Исходные данные'!G4/1000</f>
        <v>840</v>
      </c>
      <c r="G3" s="9">
        <f>'Исходные данные'!$B$4*'Исходные данные'!H4/1000</f>
        <v>1080</v>
      </c>
      <c r="H3" s="9">
        <f>'Исходные данные'!$B$4*'Исходные данные'!I4/1000</f>
        <v>1080</v>
      </c>
      <c r="I3" s="9">
        <f>'Исходные данные'!$B$4*'Исходные данные'!J4/1000</f>
        <v>1080</v>
      </c>
      <c r="J3" s="9">
        <f>'Исходные данные'!$B$4*'Исходные данные'!K4/1000</f>
        <v>720</v>
      </c>
      <c r="K3" s="9">
        <f>'Исходные данные'!$B$4*'Исходные данные'!L4/1000</f>
        <v>660</v>
      </c>
      <c r="L3" s="9">
        <f>'Исходные данные'!$B$4*'Исходные данные'!M4/1000</f>
        <v>660</v>
      </c>
      <c r="M3" s="9">
        <f>'Исходные данные'!$B$4*'Исходные данные'!N4/1000</f>
        <v>660</v>
      </c>
      <c r="N3" s="10">
        <f>SUM(B3:M3)</f>
        <v>9600</v>
      </c>
    </row>
    <row r="4" spans="1:14" s="3" customFormat="1" ht="15" x14ac:dyDescent="0.2">
      <c r="A4" s="102" t="s">
        <v>29</v>
      </c>
      <c r="B4" s="107">
        <f>'Исходные данные'!$B5*'Исходные данные'!C5/1000</f>
        <v>2250</v>
      </c>
      <c r="C4" s="35">
        <f>'Исходные данные'!$B5*'Исходные данные'!D5/1000</f>
        <v>2250</v>
      </c>
      <c r="D4" s="35">
        <f>'Исходные данные'!$B5*'Исходные данные'!E5/1000</f>
        <v>2550</v>
      </c>
      <c r="E4" s="35">
        <f>'Исходные данные'!$B5*'Исходные данные'!F5/1000</f>
        <v>2700</v>
      </c>
      <c r="F4" s="35">
        <f>'Исходные данные'!$B5*'Исходные данные'!G5/1000</f>
        <v>2700</v>
      </c>
      <c r="G4" s="35">
        <f>'Исходные данные'!$B5*'Исходные данные'!H5/1000</f>
        <v>2700</v>
      </c>
      <c r="H4" s="35">
        <f>'Исходные данные'!$B5*'Исходные данные'!I5/1000</f>
        <v>2700</v>
      </c>
      <c r="I4" s="35">
        <f>'Исходные данные'!$B5*'Исходные данные'!J5/1000</f>
        <v>2700</v>
      </c>
      <c r="J4" s="35">
        <f>'Исходные данные'!$B5*'Исходные данные'!K5/1000</f>
        <v>2550</v>
      </c>
      <c r="K4" s="35">
        <f>'Исходные данные'!$B5*'Исходные данные'!L5/1000</f>
        <v>2550</v>
      </c>
      <c r="L4" s="35">
        <f>'Исходные данные'!$B5*'Исходные данные'!M5/1000</f>
        <v>2550</v>
      </c>
      <c r="M4" s="35">
        <f>'Исходные данные'!$B5*'Исходные данные'!N5/1000</f>
        <v>2400</v>
      </c>
      <c r="N4" s="36">
        <f t="shared" ref="N4:N7" si="0">SUM(B4:M4)</f>
        <v>30600</v>
      </c>
    </row>
    <row r="5" spans="1:14" s="3" customFormat="1" ht="15" x14ac:dyDescent="0.2">
      <c r="A5" s="103" t="s">
        <v>30</v>
      </c>
      <c r="B5" s="106">
        <f>'Исходные данные'!$B6*'Исходные данные'!C6/1000</f>
        <v>2300</v>
      </c>
      <c r="C5" s="4">
        <f>'Исходные данные'!$B6*'Исходные данные'!D6/1000</f>
        <v>2645</v>
      </c>
      <c r="D5" s="4">
        <f>'Исходные данные'!$B6*'Исходные данные'!E6/1000</f>
        <v>2760</v>
      </c>
      <c r="E5" s="4">
        <f>'Исходные данные'!$B6*'Исходные данные'!F6/1000</f>
        <v>2875</v>
      </c>
      <c r="F5" s="4">
        <f>'Исходные данные'!$B6*'Исходные данные'!G6/1000</f>
        <v>2990</v>
      </c>
      <c r="G5" s="4">
        <f>'Исходные данные'!$B6*'Исходные данные'!H6/1000</f>
        <v>3450</v>
      </c>
      <c r="H5" s="4">
        <f>'Исходные данные'!$B6*'Исходные данные'!I6/1000</f>
        <v>3450</v>
      </c>
      <c r="I5" s="4">
        <f>'Исходные данные'!$B6*'Исходные данные'!J6/1000</f>
        <v>3450</v>
      </c>
      <c r="J5" s="4">
        <f>'Исходные данные'!$B6*'Исходные данные'!K6/1000</f>
        <v>3450</v>
      </c>
      <c r="K5" s="4">
        <f>'Исходные данные'!$B6*'Исходные данные'!L6/1000</f>
        <v>3450</v>
      </c>
      <c r="L5" s="4">
        <f>'Исходные данные'!$B6*'Исходные данные'!M6/1000</f>
        <v>3450</v>
      </c>
      <c r="M5" s="4">
        <f>'Исходные данные'!$B6*'Исходные данные'!N6/1000</f>
        <v>3450</v>
      </c>
      <c r="N5" s="6">
        <f t="shared" si="0"/>
        <v>37720</v>
      </c>
    </row>
    <row r="6" spans="1:14" s="3" customFormat="1" ht="15" x14ac:dyDescent="0.2">
      <c r="A6" s="102" t="s">
        <v>31</v>
      </c>
      <c r="B6" s="107">
        <f>'Исходные данные'!$B7*'Исходные данные'!C7/1000</f>
        <v>2550</v>
      </c>
      <c r="C6" s="35">
        <f>'Исходные данные'!$B7*'Исходные данные'!D7/1000</f>
        <v>2550</v>
      </c>
      <c r="D6" s="35">
        <f>'Исходные данные'!$B7*'Исходные данные'!E7/1000</f>
        <v>2550</v>
      </c>
      <c r="E6" s="35">
        <f>'Исходные данные'!$B7*'Исходные данные'!F7/1000</f>
        <v>3060</v>
      </c>
      <c r="F6" s="35">
        <f>'Исходные данные'!$B7*'Исходные данные'!G7/1000</f>
        <v>3060</v>
      </c>
      <c r="G6" s="35">
        <f>'Исходные данные'!$B7*'Исходные данные'!H7/1000</f>
        <v>5780</v>
      </c>
      <c r="H6" s="35">
        <f>'Исходные данные'!$B7*'Исходные данные'!I7/1000</f>
        <v>5780</v>
      </c>
      <c r="I6" s="35">
        <f>'Исходные данные'!$B7*'Исходные данные'!J7/1000</f>
        <v>5780</v>
      </c>
      <c r="J6" s="35">
        <f>'Исходные данные'!$B7*'Исходные данные'!K7/1000</f>
        <v>5100</v>
      </c>
      <c r="K6" s="35">
        <f>'Исходные данные'!$B7*'Исходные данные'!L7/1000</f>
        <v>2550</v>
      </c>
      <c r="L6" s="35">
        <f>'Исходные данные'!$B7*'Исходные данные'!M7/1000</f>
        <v>2550</v>
      </c>
      <c r="M6" s="35">
        <f>'Исходные данные'!$B7*'Исходные данные'!N7/1000</f>
        <v>2550</v>
      </c>
      <c r="N6" s="36">
        <f t="shared" si="0"/>
        <v>43860</v>
      </c>
    </row>
    <row r="7" spans="1:14" s="3" customFormat="1" ht="15.75" thickBot="1" x14ac:dyDescent="0.25">
      <c r="A7" s="104" t="s">
        <v>32</v>
      </c>
      <c r="B7" s="110">
        <f>'Исходные данные'!$B8*'Исходные данные'!C8/1000</f>
        <v>1920</v>
      </c>
      <c r="C7" s="29">
        <f>'Исходные данные'!$B8*'Исходные данные'!D8/1000</f>
        <v>1920</v>
      </c>
      <c r="D7" s="29">
        <f>'Исходные данные'!$B8*'Исходные данные'!E8/1000</f>
        <v>1920</v>
      </c>
      <c r="E7" s="29">
        <f>'Исходные данные'!$B8*'Исходные данные'!F8/1000</f>
        <v>1920</v>
      </c>
      <c r="F7" s="29">
        <f>'Исходные данные'!$B8*'Исходные данные'!G8/1000</f>
        <v>1920</v>
      </c>
      <c r="G7" s="29">
        <f>'Исходные данные'!$B8*'Исходные данные'!H8/1000</f>
        <v>1920</v>
      </c>
      <c r="H7" s="29">
        <f>'Исходные данные'!$B8*'Исходные данные'!I8/1000</f>
        <v>1920</v>
      </c>
      <c r="I7" s="29">
        <f>'Исходные данные'!$B8*'Исходные данные'!J8/1000</f>
        <v>1920</v>
      </c>
      <c r="J7" s="29">
        <f>'Исходные данные'!$B8*'Исходные данные'!K8/1000</f>
        <v>1920</v>
      </c>
      <c r="K7" s="29">
        <f>'Исходные данные'!$B8*'Исходные данные'!L8/1000</f>
        <v>1920</v>
      </c>
      <c r="L7" s="29">
        <f>'Исходные данные'!$B8*'Исходные данные'!M8/1000</f>
        <v>1920</v>
      </c>
      <c r="M7" s="29">
        <f>'Исходные данные'!$B8*'Исходные данные'!N8/1000</f>
        <v>1920</v>
      </c>
      <c r="N7" s="30">
        <f t="shared" si="0"/>
        <v>23040</v>
      </c>
    </row>
    <row r="8" spans="1:14" s="3" customFormat="1" ht="16.5" thickBot="1" x14ac:dyDescent="0.25">
      <c r="A8" s="105" t="s">
        <v>71</v>
      </c>
      <c r="B8" s="111">
        <f t="shared" ref="B8:N8" si="1">SUM(B3:B7)</f>
        <v>9680</v>
      </c>
      <c r="C8" s="33">
        <f t="shared" si="1"/>
        <v>10025</v>
      </c>
      <c r="D8" s="33">
        <f t="shared" si="1"/>
        <v>10440</v>
      </c>
      <c r="E8" s="33">
        <f t="shared" si="1"/>
        <v>11395</v>
      </c>
      <c r="F8" s="33">
        <f t="shared" si="1"/>
        <v>11510</v>
      </c>
      <c r="G8" s="33">
        <f t="shared" si="1"/>
        <v>14930</v>
      </c>
      <c r="H8" s="33">
        <f t="shared" si="1"/>
        <v>14930</v>
      </c>
      <c r="I8" s="33">
        <f t="shared" si="1"/>
        <v>14930</v>
      </c>
      <c r="J8" s="33">
        <f t="shared" si="1"/>
        <v>13740</v>
      </c>
      <c r="K8" s="33">
        <f t="shared" si="1"/>
        <v>11130</v>
      </c>
      <c r="L8" s="33">
        <f t="shared" si="1"/>
        <v>11130</v>
      </c>
      <c r="M8" s="33">
        <f t="shared" si="1"/>
        <v>10980</v>
      </c>
      <c r="N8" s="34">
        <f t="shared" si="1"/>
        <v>144820</v>
      </c>
    </row>
  </sheetData>
  <mergeCells count="1">
    <mergeCell ref="A1:N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N17"/>
  <sheetViews>
    <sheetView zoomScale="120" zoomScaleNormal="120" workbookViewId="0">
      <selection sqref="A1:N1"/>
    </sheetView>
  </sheetViews>
  <sheetFormatPr defaultRowHeight="12.75" x14ac:dyDescent="0.2"/>
  <cols>
    <col min="1" max="1" width="22.85546875" style="1" customWidth="1"/>
    <col min="2" max="13" width="12.28515625" style="1" customWidth="1"/>
    <col min="14" max="14" width="12.140625" style="1" customWidth="1"/>
    <col min="15" max="16384" width="9.140625" style="1"/>
  </cols>
  <sheetData>
    <row r="1" spans="1:14" ht="51.75" customHeight="1" thickBot="1" x14ac:dyDescent="0.25">
      <c r="A1" s="165" t="s">
        <v>34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32.25" thickBot="1" x14ac:dyDescent="0.25">
      <c r="A2" s="100" t="s">
        <v>35</v>
      </c>
      <c r="B2" s="109" t="s">
        <v>11</v>
      </c>
      <c r="C2" s="31" t="s">
        <v>12</v>
      </c>
      <c r="D2" s="31" t="s">
        <v>13</v>
      </c>
      <c r="E2" s="31" t="s">
        <v>14</v>
      </c>
      <c r="F2" s="31" t="s">
        <v>15</v>
      </c>
      <c r="G2" s="31" t="s">
        <v>16</v>
      </c>
      <c r="H2" s="31" t="s">
        <v>17</v>
      </c>
      <c r="I2" s="31" t="s">
        <v>18</v>
      </c>
      <c r="J2" s="31" t="s">
        <v>19</v>
      </c>
      <c r="K2" s="31" t="s">
        <v>20</v>
      </c>
      <c r="L2" s="31" t="s">
        <v>21</v>
      </c>
      <c r="M2" s="31" t="s">
        <v>22</v>
      </c>
      <c r="N2" s="32" t="s">
        <v>0</v>
      </c>
    </row>
    <row r="3" spans="1:14" ht="75" x14ac:dyDescent="0.2">
      <c r="A3" s="112" t="s">
        <v>70</v>
      </c>
      <c r="B3" s="117">
        <f>SUM(B4:B8)</f>
        <v>4860</v>
      </c>
      <c r="C3" s="43">
        <f t="shared" ref="C3:M3" si="0">SUM(C4:C8)</f>
        <v>5010</v>
      </c>
      <c r="D3" s="43">
        <f t="shared" si="0"/>
        <v>5200</v>
      </c>
      <c r="E3" s="43">
        <f t="shared" si="0"/>
        <v>5650</v>
      </c>
      <c r="F3" s="43">
        <f t="shared" si="0"/>
        <v>5700</v>
      </c>
      <c r="G3" s="43">
        <f t="shared" si="0"/>
        <v>7420</v>
      </c>
      <c r="H3" s="43">
        <f t="shared" si="0"/>
        <v>7420</v>
      </c>
      <c r="I3" s="43">
        <f t="shared" si="0"/>
        <v>7420</v>
      </c>
      <c r="J3" s="43">
        <f t="shared" si="0"/>
        <v>6870</v>
      </c>
      <c r="K3" s="43">
        <f t="shared" si="0"/>
        <v>5500</v>
      </c>
      <c r="L3" s="43">
        <f t="shared" si="0"/>
        <v>5500</v>
      </c>
      <c r="M3" s="43">
        <f t="shared" si="0"/>
        <v>5430</v>
      </c>
      <c r="N3" s="121">
        <f>SUM(B3:M3)</f>
        <v>71980</v>
      </c>
    </row>
    <row r="4" spans="1:14" ht="15" x14ac:dyDescent="0.2">
      <c r="A4" s="113" t="s">
        <v>45</v>
      </c>
      <c r="B4" s="116">
        <f>'Исходные данные'!$B11*'Исходные данные'!C4/1000</f>
        <v>220</v>
      </c>
      <c r="C4" s="38">
        <f>'Исходные данные'!$B11*'Исходные данные'!D4/1000</f>
        <v>220</v>
      </c>
      <c r="D4" s="38">
        <f>'Исходные данные'!$B11*'Исходные данные'!E4/1000</f>
        <v>220</v>
      </c>
      <c r="E4" s="38">
        <f>'Исходные данные'!$B11*'Исходные данные'!F4/1000</f>
        <v>280</v>
      </c>
      <c r="F4" s="38">
        <f>'Исходные данные'!$B11*'Исходные данные'!G4/1000</f>
        <v>280</v>
      </c>
      <c r="G4" s="38">
        <f>'Исходные данные'!$B11*'Исходные данные'!H4/1000</f>
        <v>360</v>
      </c>
      <c r="H4" s="38">
        <f>'Исходные данные'!$B11*'Исходные данные'!I4/1000</f>
        <v>360</v>
      </c>
      <c r="I4" s="38">
        <f>'Исходные данные'!$B11*'Исходные данные'!J4/1000</f>
        <v>360</v>
      </c>
      <c r="J4" s="38">
        <f>'Исходные данные'!$B11*'Исходные данные'!K4/1000</f>
        <v>240</v>
      </c>
      <c r="K4" s="38">
        <f>'Исходные данные'!$B11*'Исходные данные'!L4/1000</f>
        <v>220</v>
      </c>
      <c r="L4" s="38">
        <f>'Исходные данные'!$B11*'Исходные данные'!M4/1000</f>
        <v>220</v>
      </c>
      <c r="M4" s="38">
        <f>'Исходные данные'!$B11*'Исходные данные'!N4/1000</f>
        <v>220</v>
      </c>
      <c r="N4" s="6">
        <f t="shared" ref="N4:N14" si="1">SUM(B4:M4)</f>
        <v>3200</v>
      </c>
    </row>
    <row r="5" spans="1:14" ht="15" x14ac:dyDescent="0.2">
      <c r="A5" s="113" t="s">
        <v>46</v>
      </c>
      <c r="B5" s="116">
        <f>'Исходные данные'!$B12*'Исходные данные'!C5/1000</f>
        <v>1050</v>
      </c>
      <c r="C5" s="38">
        <f>'Исходные данные'!$B12*'Исходные данные'!D5/1000</f>
        <v>1050</v>
      </c>
      <c r="D5" s="38">
        <f>'Исходные данные'!$B12*'Исходные данные'!E5/1000</f>
        <v>1190</v>
      </c>
      <c r="E5" s="38">
        <f>'Исходные данные'!$B12*'Исходные данные'!F5/1000</f>
        <v>1260</v>
      </c>
      <c r="F5" s="38">
        <f>'Исходные данные'!$B12*'Исходные данные'!G5/1000</f>
        <v>1260</v>
      </c>
      <c r="G5" s="38">
        <f>'Исходные данные'!$B12*'Исходные данные'!H5/1000</f>
        <v>1260</v>
      </c>
      <c r="H5" s="38">
        <f>'Исходные данные'!$B12*'Исходные данные'!I5/1000</f>
        <v>1260</v>
      </c>
      <c r="I5" s="38">
        <f>'Исходные данные'!$B12*'Исходные данные'!J5/1000</f>
        <v>1260</v>
      </c>
      <c r="J5" s="38">
        <f>'Исходные данные'!$B12*'Исходные данные'!K5/1000</f>
        <v>1190</v>
      </c>
      <c r="K5" s="38">
        <f>'Исходные данные'!$B12*'Исходные данные'!L5/1000</f>
        <v>1190</v>
      </c>
      <c r="L5" s="38">
        <f>'Исходные данные'!$B12*'Исходные данные'!M5/1000</f>
        <v>1190</v>
      </c>
      <c r="M5" s="38">
        <f>'Исходные данные'!$B12*'Исходные данные'!N5/1000</f>
        <v>1120</v>
      </c>
      <c r="N5" s="6">
        <f t="shared" si="1"/>
        <v>14280</v>
      </c>
    </row>
    <row r="6" spans="1:14" ht="15" x14ac:dyDescent="0.2">
      <c r="A6" s="113" t="s">
        <v>47</v>
      </c>
      <c r="B6" s="116">
        <f>'Исходные данные'!$B13*'Исходные данные'!C6/1000</f>
        <v>1000</v>
      </c>
      <c r="C6" s="38">
        <f>'Исходные данные'!$B13*'Исходные данные'!D6/1000</f>
        <v>1150</v>
      </c>
      <c r="D6" s="38">
        <f>'Исходные данные'!$B13*'Исходные данные'!E6/1000</f>
        <v>1200</v>
      </c>
      <c r="E6" s="38">
        <f>'Исходные данные'!$B13*'Исходные данные'!F6/1000</f>
        <v>1250</v>
      </c>
      <c r="F6" s="38">
        <f>'Исходные данные'!$B13*'Исходные данные'!G6/1000</f>
        <v>1300</v>
      </c>
      <c r="G6" s="38">
        <f>'Исходные данные'!$B13*'Исходные данные'!H6/1000</f>
        <v>1500</v>
      </c>
      <c r="H6" s="38">
        <f>'Исходные данные'!$B13*'Исходные данные'!I6/1000</f>
        <v>1500</v>
      </c>
      <c r="I6" s="38">
        <f>'Исходные данные'!$B13*'Исходные данные'!J6/1000</f>
        <v>1500</v>
      </c>
      <c r="J6" s="38">
        <f>'Исходные данные'!$B13*'Исходные данные'!K6/1000</f>
        <v>1500</v>
      </c>
      <c r="K6" s="38">
        <f>'Исходные данные'!$B13*'Исходные данные'!L6/1000</f>
        <v>1500</v>
      </c>
      <c r="L6" s="38">
        <f>'Исходные данные'!$B13*'Исходные данные'!M6/1000</f>
        <v>1500</v>
      </c>
      <c r="M6" s="38">
        <f>'Исходные данные'!$B13*'Исходные данные'!N6/1000</f>
        <v>1500</v>
      </c>
      <c r="N6" s="6">
        <f t="shared" si="1"/>
        <v>16400</v>
      </c>
    </row>
    <row r="7" spans="1:14" ht="15" x14ac:dyDescent="0.2">
      <c r="A7" s="113" t="s">
        <v>48</v>
      </c>
      <c r="B7" s="116">
        <f>'Исходные данные'!$B14*'Исходные данные'!C7/1000</f>
        <v>1350</v>
      </c>
      <c r="C7" s="38">
        <f>'Исходные данные'!$B14*'Исходные данные'!D7/1000</f>
        <v>1350</v>
      </c>
      <c r="D7" s="38">
        <f>'Исходные данные'!$B14*'Исходные данные'!E7/1000</f>
        <v>1350</v>
      </c>
      <c r="E7" s="38">
        <f>'Исходные данные'!$B14*'Исходные данные'!F7/1000</f>
        <v>1620</v>
      </c>
      <c r="F7" s="38">
        <f>'Исходные данные'!$B14*'Исходные данные'!G7/1000</f>
        <v>1620</v>
      </c>
      <c r="G7" s="38">
        <f>'Исходные данные'!$B14*'Исходные данные'!H7/1000</f>
        <v>3060</v>
      </c>
      <c r="H7" s="38">
        <f>'Исходные данные'!$B14*'Исходные данные'!I7/1000</f>
        <v>3060</v>
      </c>
      <c r="I7" s="38">
        <f>'Исходные данные'!$B14*'Исходные данные'!J7/1000</f>
        <v>3060</v>
      </c>
      <c r="J7" s="38">
        <f>'Исходные данные'!$B14*'Исходные данные'!K7/1000</f>
        <v>2700</v>
      </c>
      <c r="K7" s="38">
        <f>'Исходные данные'!$B14*'Исходные данные'!L7/1000</f>
        <v>1350</v>
      </c>
      <c r="L7" s="38">
        <f>'Исходные данные'!$B14*'Исходные данные'!M7/1000</f>
        <v>1350</v>
      </c>
      <c r="M7" s="38">
        <f>'Исходные данные'!$B14*'Исходные данные'!N7/1000</f>
        <v>1350</v>
      </c>
      <c r="N7" s="6">
        <f t="shared" si="1"/>
        <v>23220</v>
      </c>
    </row>
    <row r="8" spans="1:14" ht="15" x14ac:dyDescent="0.2">
      <c r="A8" s="113" t="s">
        <v>49</v>
      </c>
      <c r="B8" s="116">
        <f>'Исходные данные'!$B15*'Исходные данные'!C8/1000</f>
        <v>1240</v>
      </c>
      <c r="C8" s="38">
        <f>'Исходные данные'!$B15*'Исходные данные'!D8/1000</f>
        <v>1240</v>
      </c>
      <c r="D8" s="38">
        <f>'Исходные данные'!$B15*'Исходные данные'!E8/1000</f>
        <v>1240</v>
      </c>
      <c r="E8" s="38">
        <f>'Исходные данные'!$B15*'Исходные данные'!F8/1000</f>
        <v>1240</v>
      </c>
      <c r="F8" s="38">
        <f>'Исходные данные'!$B15*'Исходные данные'!G8/1000</f>
        <v>1240</v>
      </c>
      <c r="G8" s="38">
        <f>'Исходные данные'!$B15*'Исходные данные'!H8/1000</f>
        <v>1240</v>
      </c>
      <c r="H8" s="38">
        <f>'Исходные данные'!$B15*'Исходные данные'!I8/1000</f>
        <v>1240</v>
      </c>
      <c r="I8" s="38">
        <f>'Исходные данные'!$B15*'Исходные данные'!J8/1000</f>
        <v>1240</v>
      </c>
      <c r="J8" s="38">
        <f>'Исходные данные'!$B15*'Исходные данные'!K8/1000</f>
        <v>1240</v>
      </c>
      <c r="K8" s="38">
        <f>'Исходные данные'!$B15*'Исходные данные'!L8/1000</f>
        <v>1240</v>
      </c>
      <c r="L8" s="38">
        <f>'Исходные данные'!$B15*'Исходные данные'!M8/1000</f>
        <v>1240</v>
      </c>
      <c r="M8" s="38">
        <f>'Исходные данные'!$B15*'Исходные данные'!N8/1000</f>
        <v>1240</v>
      </c>
      <c r="N8" s="6">
        <f t="shared" si="1"/>
        <v>14880</v>
      </c>
    </row>
    <row r="9" spans="1:14" ht="15" x14ac:dyDescent="0.2">
      <c r="A9" s="102" t="s">
        <v>1</v>
      </c>
      <c r="B9" s="115">
        <f>SUM(B10:B11)</f>
        <v>2452</v>
      </c>
      <c r="C9" s="44">
        <f t="shared" ref="C9:M9" si="2">SUM(C10:C11)</f>
        <v>2503.75</v>
      </c>
      <c r="D9" s="44">
        <f t="shared" si="2"/>
        <v>2566</v>
      </c>
      <c r="E9" s="44">
        <f t="shared" si="2"/>
        <v>2709.25</v>
      </c>
      <c r="F9" s="44">
        <f t="shared" si="2"/>
        <v>2726.5</v>
      </c>
      <c r="G9" s="44">
        <f t="shared" si="2"/>
        <v>3239.5</v>
      </c>
      <c r="H9" s="44">
        <f t="shared" si="2"/>
        <v>3239.5</v>
      </c>
      <c r="I9" s="44">
        <f t="shared" si="2"/>
        <v>3239.5</v>
      </c>
      <c r="J9" s="44">
        <f t="shared" si="2"/>
        <v>3061</v>
      </c>
      <c r="K9" s="44">
        <f t="shared" si="2"/>
        <v>2669.5</v>
      </c>
      <c r="L9" s="44">
        <f t="shared" si="2"/>
        <v>2669.5</v>
      </c>
      <c r="M9" s="44">
        <f t="shared" si="2"/>
        <v>2647</v>
      </c>
      <c r="N9" s="36">
        <f t="shared" si="1"/>
        <v>33723</v>
      </c>
    </row>
    <row r="10" spans="1:14" ht="15" x14ac:dyDescent="0.2">
      <c r="A10" s="113" t="s">
        <v>50</v>
      </c>
      <c r="B10" s="116">
        <v>1000</v>
      </c>
      <c r="C10" s="38">
        <v>1000</v>
      </c>
      <c r="D10" s="38">
        <v>1000</v>
      </c>
      <c r="E10" s="38">
        <v>1000</v>
      </c>
      <c r="F10" s="38">
        <v>1000</v>
      </c>
      <c r="G10" s="38">
        <v>1000</v>
      </c>
      <c r="H10" s="38">
        <v>1000</v>
      </c>
      <c r="I10" s="38">
        <v>1000</v>
      </c>
      <c r="J10" s="38">
        <v>1000</v>
      </c>
      <c r="K10" s="38">
        <v>1000</v>
      </c>
      <c r="L10" s="38">
        <v>1000</v>
      </c>
      <c r="M10" s="38">
        <v>1000</v>
      </c>
      <c r="N10" s="6">
        <f t="shared" si="1"/>
        <v>12000</v>
      </c>
    </row>
    <row r="11" spans="1:14" ht="15" x14ac:dyDescent="0.2">
      <c r="A11" s="113" t="s">
        <v>51</v>
      </c>
      <c r="B11" s="116">
        <f>0.15*'План по доходам'!B8</f>
        <v>1452</v>
      </c>
      <c r="C11" s="38">
        <f>0.15*'План по доходам'!C8</f>
        <v>1503.75</v>
      </c>
      <c r="D11" s="38">
        <f>0.15*'План по доходам'!D8</f>
        <v>1566</v>
      </c>
      <c r="E11" s="38">
        <f>0.15*'План по доходам'!E8</f>
        <v>1709.25</v>
      </c>
      <c r="F11" s="38">
        <f>0.15*'План по доходам'!F8</f>
        <v>1726.5</v>
      </c>
      <c r="G11" s="38">
        <f>0.15*'План по доходам'!G8</f>
        <v>2239.5</v>
      </c>
      <c r="H11" s="38">
        <f>0.15*'План по доходам'!H8</f>
        <v>2239.5</v>
      </c>
      <c r="I11" s="38">
        <f>0.15*'План по доходам'!I8</f>
        <v>2239.5</v>
      </c>
      <c r="J11" s="38">
        <f>0.15*'План по доходам'!J8</f>
        <v>2061</v>
      </c>
      <c r="K11" s="38">
        <f>0.15*'План по доходам'!K8</f>
        <v>1669.5</v>
      </c>
      <c r="L11" s="38">
        <f>0.15*'План по доходам'!L8</f>
        <v>1669.5</v>
      </c>
      <c r="M11" s="38">
        <f>0.15*'План по доходам'!M8</f>
        <v>1647</v>
      </c>
      <c r="N11" s="6">
        <f t="shared" si="1"/>
        <v>21723</v>
      </c>
    </row>
    <row r="12" spans="1:14" ht="30" x14ac:dyDescent="0.2">
      <c r="A12" s="102" t="s">
        <v>38</v>
      </c>
      <c r="B12" s="115">
        <f>B9*0.302</f>
        <v>740.50400000000002</v>
      </c>
      <c r="C12" s="44">
        <f t="shared" ref="C12:M12" si="3">C9*0.302</f>
        <v>756.13249999999994</v>
      </c>
      <c r="D12" s="44">
        <f t="shared" si="3"/>
        <v>774.93200000000002</v>
      </c>
      <c r="E12" s="44">
        <f t="shared" si="3"/>
        <v>818.19349999999997</v>
      </c>
      <c r="F12" s="44">
        <f t="shared" si="3"/>
        <v>823.40300000000002</v>
      </c>
      <c r="G12" s="44">
        <f t="shared" si="3"/>
        <v>978.32899999999995</v>
      </c>
      <c r="H12" s="44">
        <f t="shared" si="3"/>
        <v>978.32899999999995</v>
      </c>
      <c r="I12" s="44">
        <f t="shared" si="3"/>
        <v>978.32899999999995</v>
      </c>
      <c r="J12" s="44">
        <f t="shared" si="3"/>
        <v>924.42200000000003</v>
      </c>
      <c r="K12" s="44">
        <f t="shared" si="3"/>
        <v>806.18899999999996</v>
      </c>
      <c r="L12" s="44">
        <f t="shared" si="3"/>
        <v>806.18899999999996</v>
      </c>
      <c r="M12" s="44">
        <f t="shared" si="3"/>
        <v>799.39400000000001</v>
      </c>
      <c r="N12" s="36">
        <f t="shared" si="1"/>
        <v>10184.346</v>
      </c>
    </row>
    <row r="13" spans="1:14" ht="15" x14ac:dyDescent="0.2">
      <c r="A13" s="102" t="s">
        <v>39</v>
      </c>
      <c r="B13" s="115">
        <v>50</v>
      </c>
      <c r="C13" s="44">
        <v>50</v>
      </c>
      <c r="D13" s="44">
        <v>50</v>
      </c>
      <c r="E13" s="44">
        <v>50</v>
      </c>
      <c r="F13" s="44">
        <v>50</v>
      </c>
      <c r="G13" s="44">
        <v>50</v>
      </c>
      <c r="H13" s="44">
        <v>50</v>
      </c>
      <c r="I13" s="44">
        <v>50</v>
      </c>
      <c r="J13" s="44">
        <v>50</v>
      </c>
      <c r="K13" s="44">
        <v>50</v>
      </c>
      <c r="L13" s="44">
        <v>50</v>
      </c>
      <c r="M13" s="44">
        <v>50</v>
      </c>
      <c r="N13" s="36">
        <f t="shared" si="1"/>
        <v>600</v>
      </c>
    </row>
    <row r="14" spans="1:14" ht="15.75" thickBot="1" x14ac:dyDescent="0.25">
      <c r="A14" s="114" t="s">
        <v>2</v>
      </c>
      <c r="B14" s="115">
        <v>70</v>
      </c>
      <c r="C14" s="44">
        <v>70</v>
      </c>
      <c r="D14" s="44">
        <v>70</v>
      </c>
      <c r="E14" s="44">
        <v>70</v>
      </c>
      <c r="F14" s="44">
        <v>70</v>
      </c>
      <c r="G14" s="44">
        <v>70</v>
      </c>
      <c r="H14" s="44">
        <v>70</v>
      </c>
      <c r="I14" s="44">
        <v>70</v>
      </c>
      <c r="J14" s="44">
        <v>70</v>
      </c>
      <c r="K14" s="44">
        <v>70</v>
      </c>
      <c r="L14" s="44">
        <v>70</v>
      </c>
      <c r="M14" s="44">
        <v>70</v>
      </c>
      <c r="N14" s="36">
        <f t="shared" si="1"/>
        <v>840</v>
      </c>
    </row>
    <row r="15" spans="1:14" ht="16.5" thickBot="1" x14ac:dyDescent="0.25">
      <c r="A15" s="105" t="s">
        <v>0</v>
      </c>
      <c r="B15" s="118">
        <f>B3+B9+B12+B13+B14</f>
        <v>8172.5039999999999</v>
      </c>
      <c r="C15" s="119">
        <f t="shared" ref="C15:N15" si="4">C3+C9+C12+C13+C14</f>
        <v>8389.8824999999997</v>
      </c>
      <c r="D15" s="119">
        <f t="shared" si="4"/>
        <v>8660.9320000000007</v>
      </c>
      <c r="E15" s="119">
        <f t="shared" si="4"/>
        <v>9297.4434999999994</v>
      </c>
      <c r="F15" s="119">
        <f t="shared" si="4"/>
        <v>9369.9030000000002</v>
      </c>
      <c r="G15" s="119">
        <f t="shared" si="4"/>
        <v>11757.829</v>
      </c>
      <c r="H15" s="119">
        <f t="shared" si="4"/>
        <v>11757.829</v>
      </c>
      <c r="I15" s="119">
        <f t="shared" si="4"/>
        <v>11757.829</v>
      </c>
      <c r="J15" s="119">
        <f t="shared" si="4"/>
        <v>10975.422</v>
      </c>
      <c r="K15" s="119">
        <f t="shared" si="4"/>
        <v>9095.6890000000003</v>
      </c>
      <c r="L15" s="119">
        <f t="shared" si="4"/>
        <v>9095.6890000000003</v>
      </c>
      <c r="M15" s="119">
        <f t="shared" si="4"/>
        <v>8996.3940000000002</v>
      </c>
      <c r="N15" s="120">
        <f t="shared" si="4"/>
        <v>117327.34600000001</v>
      </c>
    </row>
    <row r="17" spans="1:13" x14ac:dyDescent="0.2">
      <c r="A17" s="3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mergeCells count="1">
    <mergeCell ref="A1:N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N17"/>
  <sheetViews>
    <sheetView zoomScale="110" zoomScaleNormal="110" workbookViewId="0">
      <selection sqref="A1:N1"/>
    </sheetView>
  </sheetViews>
  <sheetFormatPr defaultRowHeight="12.75" x14ac:dyDescent="0.2"/>
  <cols>
    <col min="1" max="1" width="22.7109375" style="1" customWidth="1"/>
    <col min="2" max="14" width="13.5703125" style="1" customWidth="1"/>
    <col min="15" max="16384" width="9.140625" style="1"/>
  </cols>
  <sheetData>
    <row r="1" spans="1:14" ht="51" customHeight="1" thickBot="1" x14ac:dyDescent="0.25">
      <c r="A1" s="166" t="s">
        <v>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3" customFormat="1" ht="32.25" thickBot="1" x14ac:dyDescent="0.25">
      <c r="A2" s="57" t="s">
        <v>3</v>
      </c>
      <c r="B2" s="79" t="s">
        <v>11</v>
      </c>
      <c r="C2" s="58" t="s">
        <v>12</v>
      </c>
      <c r="D2" s="58" t="s">
        <v>13</v>
      </c>
      <c r="E2" s="58" t="s">
        <v>14</v>
      </c>
      <c r="F2" s="58" t="s">
        <v>15</v>
      </c>
      <c r="G2" s="58" t="s">
        <v>16</v>
      </c>
      <c r="H2" s="58" t="s">
        <v>17</v>
      </c>
      <c r="I2" s="58" t="s">
        <v>18</v>
      </c>
      <c r="J2" s="58" t="s">
        <v>19</v>
      </c>
      <c r="K2" s="58" t="s">
        <v>20</v>
      </c>
      <c r="L2" s="58" t="s">
        <v>21</v>
      </c>
      <c r="M2" s="133" t="s">
        <v>22</v>
      </c>
      <c r="N2" s="59" t="s">
        <v>0</v>
      </c>
    </row>
    <row r="3" spans="1:14" s="3" customFormat="1" ht="15" x14ac:dyDescent="0.2">
      <c r="A3" s="60" t="s">
        <v>52</v>
      </c>
      <c r="B3" s="97">
        <f>'План по доходам'!B8</f>
        <v>9680</v>
      </c>
      <c r="C3" s="61">
        <f>'План по доходам'!C8</f>
        <v>10025</v>
      </c>
      <c r="D3" s="61">
        <f>'План по доходам'!D8</f>
        <v>10440</v>
      </c>
      <c r="E3" s="61">
        <f>'План по доходам'!E8</f>
        <v>11395</v>
      </c>
      <c r="F3" s="61">
        <f>'План по доходам'!F8</f>
        <v>11510</v>
      </c>
      <c r="G3" s="61">
        <f>'План по доходам'!G8</f>
        <v>14930</v>
      </c>
      <c r="H3" s="61">
        <f>'План по доходам'!H8</f>
        <v>14930</v>
      </c>
      <c r="I3" s="61">
        <f>'План по доходам'!I8</f>
        <v>14930</v>
      </c>
      <c r="J3" s="61">
        <f>'План по доходам'!J8</f>
        <v>13740</v>
      </c>
      <c r="K3" s="61">
        <f>'План по доходам'!K8</f>
        <v>11130</v>
      </c>
      <c r="L3" s="61">
        <f>'План по доходам'!L8</f>
        <v>11130</v>
      </c>
      <c r="M3" s="126">
        <f>'План по доходам'!M8</f>
        <v>10980</v>
      </c>
      <c r="N3" s="62">
        <f>SUM(B3:M3)</f>
        <v>144820</v>
      </c>
    </row>
    <row r="4" spans="1:14" s="5" customFormat="1" ht="45" x14ac:dyDescent="0.2">
      <c r="A4" s="63" t="s">
        <v>73</v>
      </c>
      <c r="B4" s="134">
        <f>SUM(B5:B9)</f>
        <v>8172.5039999999999</v>
      </c>
      <c r="C4" s="64">
        <f t="shared" ref="C4:M4" si="0">SUM(C5:C9)</f>
        <v>8389.8824999999997</v>
      </c>
      <c r="D4" s="64">
        <f t="shared" si="0"/>
        <v>8660.9320000000007</v>
      </c>
      <c r="E4" s="64">
        <f t="shared" si="0"/>
        <v>9297.4434999999994</v>
      </c>
      <c r="F4" s="64">
        <f t="shared" si="0"/>
        <v>9369.9030000000002</v>
      </c>
      <c r="G4" s="64">
        <f t="shared" si="0"/>
        <v>11757.829</v>
      </c>
      <c r="H4" s="64">
        <f t="shared" si="0"/>
        <v>11757.829</v>
      </c>
      <c r="I4" s="64">
        <f t="shared" si="0"/>
        <v>11757.829</v>
      </c>
      <c r="J4" s="64">
        <f t="shared" si="0"/>
        <v>10975.422</v>
      </c>
      <c r="K4" s="64">
        <f t="shared" si="0"/>
        <v>9095.6890000000003</v>
      </c>
      <c r="L4" s="64">
        <f t="shared" si="0"/>
        <v>9095.6890000000003</v>
      </c>
      <c r="M4" s="127">
        <f t="shared" si="0"/>
        <v>8996.3940000000002</v>
      </c>
      <c r="N4" s="65">
        <f t="shared" ref="N4:N12" si="1">SUM(B4:M4)</f>
        <v>117327.34600000001</v>
      </c>
    </row>
    <row r="5" spans="1:14" s="5" customFormat="1" ht="30" x14ac:dyDescent="0.2">
      <c r="A5" s="51" t="s">
        <v>44</v>
      </c>
      <c r="B5" s="106">
        <f>'План по расходам'!B3</f>
        <v>4860</v>
      </c>
      <c r="C5" s="4">
        <f>'План по расходам'!C3</f>
        <v>5010</v>
      </c>
      <c r="D5" s="4">
        <f>'План по расходам'!D3</f>
        <v>5200</v>
      </c>
      <c r="E5" s="4">
        <f>'План по расходам'!E3</f>
        <v>5650</v>
      </c>
      <c r="F5" s="4">
        <f>'План по расходам'!F3</f>
        <v>5700</v>
      </c>
      <c r="G5" s="4">
        <f>'План по расходам'!G3</f>
        <v>7420</v>
      </c>
      <c r="H5" s="4">
        <f>'План по расходам'!H3</f>
        <v>7420</v>
      </c>
      <c r="I5" s="4">
        <f>'План по расходам'!I3</f>
        <v>7420</v>
      </c>
      <c r="J5" s="4">
        <f>'План по расходам'!J3</f>
        <v>6870</v>
      </c>
      <c r="K5" s="4">
        <f>'План по расходам'!K3</f>
        <v>5500</v>
      </c>
      <c r="L5" s="4">
        <f>'План по расходам'!L3</f>
        <v>5500</v>
      </c>
      <c r="M5" s="128">
        <f>'План по расходам'!M3</f>
        <v>5430</v>
      </c>
      <c r="N5" s="6">
        <f t="shared" si="1"/>
        <v>71980</v>
      </c>
    </row>
    <row r="6" spans="1:14" s="46" customFormat="1" ht="15" x14ac:dyDescent="0.2">
      <c r="A6" s="42" t="s">
        <v>23</v>
      </c>
      <c r="B6" s="106">
        <f>'План по расходам'!B9</f>
        <v>2452</v>
      </c>
      <c r="C6" s="4">
        <f>'План по расходам'!C9</f>
        <v>2503.75</v>
      </c>
      <c r="D6" s="4">
        <f>'План по расходам'!D9</f>
        <v>2566</v>
      </c>
      <c r="E6" s="4">
        <f>'План по расходам'!E9</f>
        <v>2709.25</v>
      </c>
      <c r="F6" s="4">
        <f>'План по расходам'!F9</f>
        <v>2726.5</v>
      </c>
      <c r="G6" s="4">
        <f>'План по расходам'!G9</f>
        <v>3239.5</v>
      </c>
      <c r="H6" s="4">
        <f>'План по расходам'!H9</f>
        <v>3239.5</v>
      </c>
      <c r="I6" s="4">
        <f>'План по расходам'!I9</f>
        <v>3239.5</v>
      </c>
      <c r="J6" s="4">
        <f>'План по расходам'!J9</f>
        <v>3061</v>
      </c>
      <c r="K6" s="4">
        <f>'План по расходам'!K9</f>
        <v>2669.5</v>
      </c>
      <c r="L6" s="4">
        <f>'План по расходам'!L9</f>
        <v>2669.5</v>
      </c>
      <c r="M6" s="128">
        <f>'План по расходам'!M9</f>
        <v>2647</v>
      </c>
      <c r="N6" s="6">
        <f t="shared" si="1"/>
        <v>33723</v>
      </c>
    </row>
    <row r="7" spans="1:14" s="46" customFormat="1" ht="30" x14ac:dyDescent="0.2">
      <c r="A7" s="42" t="s">
        <v>43</v>
      </c>
      <c r="B7" s="106">
        <f>'План по расходам'!B12</f>
        <v>740.50400000000002</v>
      </c>
      <c r="C7" s="4">
        <f>'План по расходам'!C12</f>
        <v>756.13249999999994</v>
      </c>
      <c r="D7" s="4">
        <f>'План по расходам'!D12</f>
        <v>774.93200000000002</v>
      </c>
      <c r="E7" s="4">
        <f>'План по расходам'!E12</f>
        <v>818.19349999999997</v>
      </c>
      <c r="F7" s="4">
        <f>'План по расходам'!F12</f>
        <v>823.40300000000002</v>
      </c>
      <c r="G7" s="4">
        <f>'План по расходам'!G12</f>
        <v>978.32899999999995</v>
      </c>
      <c r="H7" s="4">
        <f>'План по расходам'!H12</f>
        <v>978.32899999999995</v>
      </c>
      <c r="I7" s="4">
        <f>'План по расходам'!I12</f>
        <v>978.32899999999995</v>
      </c>
      <c r="J7" s="4">
        <f>'План по расходам'!J12</f>
        <v>924.42200000000003</v>
      </c>
      <c r="K7" s="4">
        <f>'План по расходам'!K12</f>
        <v>806.18899999999996</v>
      </c>
      <c r="L7" s="4">
        <f>'План по расходам'!L12</f>
        <v>806.18899999999996</v>
      </c>
      <c r="M7" s="128">
        <f>'План по расходам'!M12</f>
        <v>799.39400000000001</v>
      </c>
      <c r="N7" s="6">
        <f t="shared" si="1"/>
        <v>10184.346</v>
      </c>
    </row>
    <row r="8" spans="1:14" s="46" customFormat="1" ht="15" x14ac:dyDescent="0.2">
      <c r="A8" s="42" t="s">
        <v>53</v>
      </c>
      <c r="B8" s="106">
        <f>'План по расходам'!B13</f>
        <v>50</v>
      </c>
      <c r="C8" s="4">
        <f>'План по расходам'!C13</f>
        <v>50</v>
      </c>
      <c r="D8" s="4">
        <f>'План по расходам'!D13</f>
        <v>50</v>
      </c>
      <c r="E8" s="4">
        <f>'План по расходам'!E13</f>
        <v>50</v>
      </c>
      <c r="F8" s="4">
        <f>'План по расходам'!F13</f>
        <v>50</v>
      </c>
      <c r="G8" s="4">
        <f>'План по расходам'!G13</f>
        <v>50</v>
      </c>
      <c r="H8" s="4">
        <f>'План по расходам'!H13</f>
        <v>50</v>
      </c>
      <c r="I8" s="4">
        <f>'План по расходам'!I13</f>
        <v>50</v>
      </c>
      <c r="J8" s="4">
        <f>'План по расходам'!J13</f>
        <v>50</v>
      </c>
      <c r="K8" s="4">
        <f>'План по расходам'!K13</f>
        <v>50</v>
      </c>
      <c r="L8" s="4">
        <f>'План по расходам'!L13</f>
        <v>50</v>
      </c>
      <c r="M8" s="128">
        <f>'План по расходам'!M13</f>
        <v>50</v>
      </c>
      <c r="N8" s="6">
        <f t="shared" si="1"/>
        <v>600</v>
      </c>
    </row>
    <row r="9" spans="1:14" s="46" customFormat="1" ht="15.75" thickBot="1" x14ac:dyDescent="0.25">
      <c r="A9" s="52" t="s">
        <v>4</v>
      </c>
      <c r="B9" s="110">
        <f>'План по расходам'!B14</f>
        <v>70</v>
      </c>
      <c r="C9" s="29">
        <f>'План по расходам'!C14</f>
        <v>70</v>
      </c>
      <c r="D9" s="29">
        <f>'План по расходам'!D14</f>
        <v>70</v>
      </c>
      <c r="E9" s="29">
        <f>'План по расходам'!E14</f>
        <v>70</v>
      </c>
      <c r="F9" s="29">
        <f>'План по расходам'!F14</f>
        <v>70</v>
      </c>
      <c r="G9" s="29">
        <f>'План по расходам'!G14</f>
        <v>70</v>
      </c>
      <c r="H9" s="29">
        <f>'План по расходам'!H14</f>
        <v>70</v>
      </c>
      <c r="I9" s="29">
        <f>'План по расходам'!I14</f>
        <v>70</v>
      </c>
      <c r="J9" s="29">
        <f>'План по расходам'!J14</f>
        <v>70</v>
      </c>
      <c r="K9" s="29">
        <f>'План по расходам'!K14</f>
        <v>70</v>
      </c>
      <c r="L9" s="29">
        <f>'План по расходам'!L14</f>
        <v>70</v>
      </c>
      <c r="M9" s="129">
        <f>'План по расходам'!M14</f>
        <v>70</v>
      </c>
      <c r="N9" s="30">
        <f t="shared" si="1"/>
        <v>840</v>
      </c>
    </row>
    <row r="10" spans="1:14" s="3" customFormat="1" ht="32.25" thickBot="1" x14ac:dyDescent="0.25">
      <c r="A10" s="76" t="s">
        <v>5</v>
      </c>
      <c r="B10" s="88">
        <f>B3-B4</f>
        <v>1507.4960000000001</v>
      </c>
      <c r="C10" s="77">
        <f t="shared" ref="C10:M10" si="2">C3-C4</f>
        <v>1635.1175000000003</v>
      </c>
      <c r="D10" s="77">
        <f t="shared" si="2"/>
        <v>1779.0679999999993</v>
      </c>
      <c r="E10" s="77">
        <f t="shared" si="2"/>
        <v>2097.5565000000006</v>
      </c>
      <c r="F10" s="77">
        <f t="shared" si="2"/>
        <v>2140.0969999999998</v>
      </c>
      <c r="G10" s="77">
        <f t="shared" si="2"/>
        <v>3172.1710000000003</v>
      </c>
      <c r="H10" s="77">
        <f t="shared" si="2"/>
        <v>3172.1710000000003</v>
      </c>
      <c r="I10" s="77">
        <f t="shared" si="2"/>
        <v>3172.1710000000003</v>
      </c>
      <c r="J10" s="77">
        <f t="shared" si="2"/>
        <v>2764.5779999999995</v>
      </c>
      <c r="K10" s="77">
        <f t="shared" si="2"/>
        <v>2034.3109999999997</v>
      </c>
      <c r="L10" s="77">
        <f t="shared" si="2"/>
        <v>2034.3109999999997</v>
      </c>
      <c r="M10" s="130">
        <f t="shared" si="2"/>
        <v>1983.6059999999998</v>
      </c>
      <c r="N10" s="78">
        <f t="shared" si="1"/>
        <v>27492.654000000002</v>
      </c>
    </row>
    <row r="11" spans="1:14" s="47" customFormat="1" ht="30" x14ac:dyDescent="0.2">
      <c r="A11" s="66" t="s">
        <v>41</v>
      </c>
      <c r="B11" s="135">
        <f t="shared" ref="B11:M11" si="3">B10/B3*100</f>
        <v>15.573305785123967</v>
      </c>
      <c r="C11" s="67">
        <f t="shared" si="3"/>
        <v>16.310399002493771</v>
      </c>
      <c r="D11" s="67">
        <f t="shared" si="3"/>
        <v>17.040881226053635</v>
      </c>
      <c r="E11" s="67">
        <f t="shared" si="3"/>
        <v>18.407691970162357</v>
      </c>
      <c r="F11" s="67">
        <f t="shared" si="3"/>
        <v>18.593370981754994</v>
      </c>
      <c r="G11" s="67">
        <f t="shared" si="3"/>
        <v>21.246959142665776</v>
      </c>
      <c r="H11" s="67">
        <f t="shared" si="3"/>
        <v>21.246959142665776</v>
      </c>
      <c r="I11" s="67">
        <f t="shared" si="3"/>
        <v>21.246959142665776</v>
      </c>
      <c r="J11" s="67">
        <f t="shared" si="3"/>
        <v>20.120655021834057</v>
      </c>
      <c r="K11" s="67">
        <f t="shared" si="3"/>
        <v>18.277726864330635</v>
      </c>
      <c r="L11" s="67">
        <f t="shared" si="3"/>
        <v>18.277726864330635</v>
      </c>
      <c r="M11" s="131">
        <f t="shared" si="3"/>
        <v>18.065628415300544</v>
      </c>
      <c r="N11" s="62">
        <f t="shared" si="1"/>
        <v>224.40826355938196</v>
      </c>
    </row>
    <row r="12" spans="1:14" s="3" customFormat="1" ht="45.75" thickBot="1" x14ac:dyDescent="0.25">
      <c r="A12" s="68" t="s">
        <v>42</v>
      </c>
      <c r="B12" s="136">
        <f t="shared" ref="B12:M12" si="4">B15*B3/(B3-B16)</f>
        <v>4698.7468151518215</v>
      </c>
      <c r="C12" s="69">
        <f t="shared" si="4"/>
        <v>4663.0690511568491</v>
      </c>
      <c r="D12" s="69">
        <f t="shared" si="4"/>
        <v>4637.7271585608296</v>
      </c>
      <c r="E12" s="69">
        <f t="shared" si="4"/>
        <v>4603.9010881058448</v>
      </c>
      <c r="F12" s="69">
        <f t="shared" si="4"/>
        <v>4594.8271481658139</v>
      </c>
      <c r="G12" s="69">
        <f t="shared" si="4"/>
        <v>4621.1732214582344</v>
      </c>
      <c r="H12" s="69">
        <f t="shared" si="4"/>
        <v>4621.1732214582344</v>
      </c>
      <c r="I12" s="69">
        <f t="shared" si="4"/>
        <v>4621.1732214582344</v>
      </c>
      <c r="J12" s="69">
        <f t="shared" si="4"/>
        <v>4666.8854611092884</v>
      </c>
      <c r="K12" s="69">
        <f t="shared" si="4"/>
        <v>4579.1191822726605</v>
      </c>
      <c r="L12" s="69">
        <f t="shared" si="4"/>
        <v>4579.1191822726605</v>
      </c>
      <c r="M12" s="132">
        <f t="shared" si="4"/>
        <v>4584.664227159572</v>
      </c>
      <c r="N12" s="70">
        <f t="shared" si="1"/>
        <v>55471.57897833005</v>
      </c>
    </row>
    <row r="13" spans="1:14" s="3" customFormat="1" ht="15" x14ac:dyDescent="0.2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37"/>
    </row>
    <row r="14" spans="1:14" s="3" customFormat="1" ht="15.75" thickBot="1" x14ac:dyDescent="0.25">
      <c r="A14" s="137" t="s">
        <v>72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s="3" customFormat="1" ht="30" x14ac:dyDescent="0.2">
      <c r="A15" s="122" t="s">
        <v>68</v>
      </c>
      <c r="B15" s="124">
        <f>'План по расходам'!B10*1.302+'План по расходам'!B13+'План по расходам'!B14</f>
        <v>1422</v>
      </c>
      <c r="C15" s="55">
        <f>'План по расходам'!C10*1.302+'План по расходам'!C13+'План по расходам'!C14</f>
        <v>1422</v>
      </c>
      <c r="D15" s="55">
        <f>'План по расходам'!D10*1.302+'План по расходам'!D13+'План по расходам'!D14</f>
        <v>1422</v>
      </c>
      <c r="E15" s="55">
        <f>'План по расходам'!E10*1.302+'План по расходам'!E13+'План по расходам'!E14</f>
        <v>1422</v>
      </c>
      <c r="F15" s="55">
        <f>'План по расходам'!F10*1.302+'План по расходам'!F13+'План по расходам'!F14</f>
        <v>1422</v>
      </c>
      <c r="G15" s="55">
        <f>'План по расходам'!G10*1.302+'План по расходам'!G13+'План по расходам'!G14</f>
        <v>1422</v>
      </c>
      <c r="H15" s="55">
        <f>'План по расходам'!H10*1.302+'План по расходам'!H13+'План по расходам'!H14</f>
        <v>1422</v>
      </c>
      <c r="I15" s="55">
        <f>'План по расходам'!I10*1.302+'План по расходам'!I13+'План по расходам'!I14</f>
        <v>1422</v>
      </c>
      <c r="J15" s="55">
        <f>'План по расходам'!J10*1.302+'План по расходам'!J13+'План по расходам'!J14</f>
        <v>1422</v>
      </c>
      <c r="K15" s="55">
        <f>'План по расходам'!K10*1.302+'План по расходам'!K13+'План по расходам'!K14</f>
        <v>1422</v>
      </c>
      <c r="L15" s="55">
        <f>'План по расходам'!L10*1.302+'План по расходам'!L13+'План по расходам'!L14</f>
        <v>1422</v>
      </c>
      <c r="M15" s="55">
        <f>'План по расходам'!M10*1.302+'План по расходам'!M13+'План по расходам'!M14</f>
        <v>1422</v>
      </c>
      <c r="N15" s="56">
        <f t="shared" ref="N15:N16" si="5">SUM(B15:M15)</f>
        <v>17064</v>
      </c>
    </row>
    <row r="16" spans="1:14" s="3" customFormat="1" ht="30.75" thickBot="1" x14ac:dyDescent="0.25">
      <c r="A16" s="123" t="s">
        <v>69</v>
      </c>
      <c r="B16" s="125">
        <f>'План по расходам'!B3+'План по расходам'!B11*1.302</f>
        <v>6750.5039999999999</v>
      </c>
      <c r="C16" s="7">
        <f>'План по расходам'!C3+'План по расходам'!C11*1.302</f>
        <v>6967.8824999999997</v>
      </c>
      <c r="D16" s="7">
        <f>'План по расходам'!D3+'План по расходам'!D11*1.302</f>
        <v>7238.9319999999998</v>
      </c>
      <c r="E16" s="7">
        <f>'План по расходам'!E3+'План по расходам'!E11*1.302</f>
        <v>7875.4434999999994</v>
      </c>
      <c r="F16" s="7">
        <f>'План по расходам'!F3+'План по расходам'!F11*1.302</f>
        <v>7947.9030000000002</v>
      </c>
      <c r="G16" s="7">
        <f>'План по расходам'!G3+'План по расходам'!G11*1.302</f>
        <v>10335.829</v>
      </c>
      <c r="H16" s="7">
        <f>'План по расходам'!H3+'План по расходам'!H11*1.302</f>
        <v>10335.829</v>
      </c>
      <c r="I16" s="7">
        <f>'План по расходам'!I3+'План по расходам'!I11*1.302</f>
        <v>10335.829</v>
      </c>
      <c r="J16" s="7">
        <f>'План по расходам'!J3+'План по расходам'!J11*1.302</f>
        <v>9553.4220000000005</v>
      </c>
      <c r="K16" s="7">
        <f>'План по расходам'!K3+'План по расходам'!K11*1.302</f>
        <v>7673.6890000000003</v>
      </c>
      <c r="L16" s="7">
        <f>'План по расходам'!L3+'План по расходам'!L11*1.302</f>
        <v>7673.6890000000003</v>
      </c>
      <c r="M16" s="7">
        <f>'План по расходам'!M3+'План по расходам'!M11*1.302</f>
        <v>7574.3940000000002</v>
      </c>
      <c r="N16" s="8">
        <f t="shared" si="5"/>
        <v>100263.34600000001</v>
      </c>
    </row>
    <row r="17" spans="2:13" x14ac:dyDescent="0.2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</sheetData>
  <mergeCells count="1">
    <mergeCell ref="A1:N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N14"/>
  <sheetViews>
    <sheetView zoomScale="120" zoomScaleNormal="120" workbookViewId="0">
      <selection sqref="A1:N1"/>
    </sheetView>
  </sheetViews>
  <sheetFormatPr defaultRowHeight="12.75" x14ac:dyDescent="0.2"/>
  <cols>
    <col min="1" max="1" width="22.7109375" style="75" customWidth="1"/>
    <col min="2" max="14" width="12.140625" style="71" customWidth="1"/>
    <col min="15" max="16384" width="9.140625" style="71"/>
  </cols>
  <sheetData>
    <row r="1" spans="1:14" s="1" customFormat="1" ht="51.75" customHeight="1" thickBot="1" x14ac:dyDescent="0.25">
      <c r="A1" s="166" t="s">
        <v>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32.25" thickBot="1" x14ac:dyDescent="0.25">
      <c r="A2" s="147" t="s">
        <v>3</v>
      </c>
      <c r="B2" s="148" t="s">
        <v>11</v>
      </c>
      <c r="C2" s="149" t="s">
        <v>12</v>
      </c>
      <c r="D2" s="149" t="s">
        <v>13</v>
      </c>
      <c r="E2" s="149" t="s">
        <v>14</v>
      </c>
      <c r="F2" s="149" t="s">
        <v>15</v>
      </c>
      <c r="G2" s="149" t="s">
        <v>16</v>
      </c>
      <c r="H2" s="149" t="s">
        <v>17</v>
      </c>
      <c r="I2" s="149" t="s">
        <v>18</v>
      </c>
      <c r="J2" s="149" t="s">
        <v>19</v>
      </c>
      <c r="K2" s="149" t="s">
        <v>20</v>
      </c>
      <c r="L2" s="149" t="s">
        <v>21</v>
      </c>
      <c r="M2" s="149" t="s">
        <v>22</v>
      </c>
      <c r="N2" s="150" t="s">
        <v>0</v>
      </c>
    </row>
    <row r="3" spans="1:14" ht="48" thickBot="1" x14ac:dyDescent="0.25">
      <c r="A3" s="138" t="s">
        <v>74</v>
      </c>
      <c r="B3" s="156">
        <f>B4</f>
        <v>9680</v>
      </c>
      <c r="C3" s="82">
        <f t="shared" ref="C3:M3" si="0">C4</f>
        <v>10025</v>
      </c>
      <c r="D3" s="82">
        <f t="shared" si="0"/>
        <v>10440</v>
      </c>
      <c r="E3" s="82">
        <f t="shared" si="0"/>
        <v>11395</v>
      </c>
      <c r="F3" s="82">
        <f t="shared" si="0"/>
        <v>11510</v>
      </c>
      <c r="G3" s="82">
        <f t="shared" si="0"/>
        <v>14930</v>
      </c>
      <c r="H3" s="82">
        <f t="shared" si="0"/>
        <v>14930</v>
      </c>
      <c r="I3" s="82">
        <f t="shared" si="0"/>
        <v>14930</v>
      </c>
      <c r="J3" s="82">
        <f t="shared" si="0"/>
        <v>13740</v>
      </c>
      <c r="K3" s="82">
        <f t="shared" si="0"/>
        <v>11130</v>
      </c>
      <c r="L3" s="82">
        <f t="shared" si="0"/>
        <v>11130</v>
      </c>
      <c r="M3" s="82">
        <f t="shared" si="0"/>
        <v>10980</v>
      </c>
      <c r="N3" s="157">
        <f>SUM(B3:M3)</f>
        <v>144820</v>
      </c>
    </row>
    <row r="4" spans="1:14" ht="30.75" thickBot="1" x14ac:dyDescent="0.25">
      <c r="A4" s="139" t="s">
        <v>55</v>
      </c>
      <c r="B4" s="152">
        <f>'Отчет о ФР'!B3</f>
        <v>9680</v>
      </c>
      <c r="C4" s="80">
        <f>'Отчет о ФР'!C3</f>
        <v>10025</v>
      </c>
      <c r="D4" s="80">
        <f>'Отчет о ФР'!D3</f>
        <v>10440</v>
      </c>
      <c r="E4" s="80">
        <f>'Отчет о ФР'!E3</f>
        <v>11395</v>
      </c>
      <c r="F4" s="80">
        <f>'Отчет о ФР'!F3</f>
        <v>11510</v>
      </c>
      <c r="G4" s="80">
        <f>'Отчет о ФР'!G3</f>
        <v>14930</v>
      </c>
      <c r="H4" s="80">
        <f>'Отчет о ФР'!H3</f>
        <v>14930</v>
      </c>
      <c r="I4" s="80">
        <f>'Отчет о ФР'!I3</f>
        <v>14930</v>
      </c>
      <c r="J4" s="80">
        <f>'Отчет о ФР'!J3</f>
        <v>13740</v>
      </c>
      <c r="K4" s="80">
        <f>'Отчет о ФР'!K3</f>
        <v>11130</v>
      </c>
      <c r="L4" s="80">
        <f>'Отчет о ФР'!L3</f>
        <v>11130</v>
      </c>
      <c r="M4" s="80">
        <f>'Отчет о ФР'!M3</f>
        <v>10980</v>
      </c>
      <c r="N4" s="153">
        <f t="shared" ref="N4:N10" si="1">SUM(B4:M4)</f>
        <v>144820</v>
      </c>
    </row>
    <row r="5" spans="1:14" ht="48" thickBot="1" x14ac:dyDescent="0.25">
      <c r="A5" s="138" t="s">
        <v>75</v>
      </c>
      <c r="B5" s="156">
        <f t="shared" ref="B5:M5" si="2">SUM(B6:B9)</f>
        <v>6246</v>
      </c>
      <c r="C5" s="82">
        <f t="shared" si="2"/>
        <v>8412.3790000000008</v>
      </c>
      <c r="D5" s="82">
        <f t="shared" si="2"/>
        <v>8831.0074999999997</v>
      </c>
      <c r="E5" s="82">
        <f t="shared" si="2"/>
        <v>9162.5570000000007</v>
      </c>
      <c r="F5" s="82">
        <f t="shared" si="2"/>
        <v>10338.068499999999</v>
      </c>
      <c r="G5" s="82">
        <f t="shared" si="2"/>
        <v>11296.403</v>
      </c>
      <c r="H5" s="82">
        <f t="shared" si="2"/>
        <v>11707.829</v>
      </c>
      <c r="I5" s="82">
        <f t="shared" si="2"/>
        <v>11377.829</v>
      </c>
      <c r="J5" s="82">
        <f t="shared" si="2"/>
        <v>10246.579</v>
      </c>
      <c r="K5" s="82">
        <f t="shared" si="2"/>
        <v>9359.6720000000005</v>
      </c>
      <c r="L5" s="82">
        <f t="shared" si="2"/>
        <v>9003.6890000000003</v>
      </c>
      <c r="M5" s="82">
        <f t="shared" si="2"/>
        <v>5706.4390000000003</v>
      </c>
      <c r="N5" s="157">
        <f t="shared" si="1"/>
        <v>111688.452</v>
      </c>
    </row>
    <row r="6" spans="1:14" ht="30" x14ac:dyDescent="0.2">
      <c r="A6" s="140" t="s">
        <v>56</v>
      </c>
      <c r="B6" s="108">
        <f>'План по расходам'!B3*0.4+'План по расходам'!C3*0.6</f>
        <v>4950</v>
      </c>
      <c r="C6" s="9">
        <f>'План по расходам'!C3*0.4+'План по расходам'!D3*0.6</f>
        <v>5124</v>
      </c>
      <c r="D6" s="9">
        <f>'План по расходам'!D3*0.4+'План по расходам'!E3*0.6</f>
        <v>5470</v>
      </c>
      <c r="E6" s="9">
        <f>'План по расходам'!E3*0.4+'План по расходам'!F3*0.6</f>
        <v>5680</v>
      </c>
      <c r="F6" s="9">
        <f>'План по расходам'!F3*0.4+'План по расходам'!G3*0.6</f>
        <v>6732</v>
      </c>
      <c r="G6" s="9">
        <f>'План по расходам'!G3*0.4+'План по расходам'!H3*0.6</f>
        <v>7420</v>
      </c>
      <c r="H6" s="9">
        <f>'План по расходам'!H3*0.4+'План по расходам'!I3*0.6</f>
        <v>7420</v>
      </c>
      <c r="I6" s="9">
        <f>'План по расходам'!I3*0.4+'План по расходам'!J3*0.6</f>
        <v>7090</v>
      </c>
      <c r="J6" s="9">
        <f>'План по расходам'!J3*0.4+'План по расходам'!K3*0.6</f>
        <v>6048</v>
      </c>
      <c r="K6" s="9">
        <f>'План по расходам'!K3*0.4+'План по расходам'!L3*0.6</f>
        <v>5500</v>
      </c>
      <c r="L6" s="9">
        <f>'План по расходам'!L3*0.4+'План по расходам'!M3*0.6</f>
        <v>5458</v>
      </c>
      <c r="M6" s="9">
        <f>'План по расходам'!M3*0.4</f>
        <v>2172</v>
      </c>
      <c r="N6" s="154">
        <f t="shared" si="1"/>
        <v>69064</v>
      </c>
    </row>
    <row r="7" spans="1:14" s="72" customFormat="1" ht="15" x14ac:dyDescent="0.2">
      <c r="A7" s="141" t="s">
        <v>23</v>
      </c>
      <c r="B7" s="106">
        <f>'План по расходам'!B9*0.5</f>
        <v>1226</v>
      </c>
      <c r="C7" s="4">
        <f>0.5*'План по расходам'!B9+0.5*'План по расходам'!C9</f>
        <v>2477.875</v>
      </c>
      <c r="D7" s="4">
        <f>0.5*'План по расходам'!C9+0.5*'План по расходам'!D9</f>
        <v>2534.875</v>
      </c>
      <c r="E7" s="4">
        <f>0.5*'План по расходам'!D9+0.5*'План по расходам'!E9</f>
        <v>2637.625</v>
      </c>
      <c r="F7" s="4">
        <f>0.5*'План по расходам'!E9+0.5*'План по расходам'!F9</f>
        <v>2717.875</v>
      </c>
      <c r="G7" s="4">
        <f>0.5*'План по расходам'!F9+0.5*'План по расходам'!G9</f>
        <v>2983</v>
      </c>
      <c r="H7" s="4">
        <f>0.5*'План по расходам'!G9+0.5*'План по расходам'!H9</f>
        <v>3239.5</v>
      </c>
      <c r="I7" s="4">
        <f>0.5*'План по расходам'!H9+0.5*'План по расходам'!I9</f>
        <v>3239.5</v>
      </c>
      <c r="J7" s="4">
        <f>0.5*'План по расходам'!I9+0.5*'План по расходам'!J9</f>
        <v>3150.25</v>
      </c>
      <c r="K7" s="4">
        <f>0.5*'План по расходам'!J9+0.5*'План по расходам'!K9</f>
        <v>2865.25</v>
      </c>
      <c r="L7" s="4">
        <f>0.5*'План по расходам'!K9+0.5*'План по расходам'!L9</f>
        <v>2669.5</v>
      </c>
      <c r="M7" s="4">
        <f>0.5*'План по расходам'!L9+0.5*'План по расходам'!M9</f>
        <v>2658.25</v>
      </c>
      <c r="N7" s="145">
        <f t="shared" si="1"/>
        <v>32399.5</v>
      </c>
    </row>
    <row r="8" spans="1:14" s="72" customFormat="1" ht="30" x14ac:dyDescent="0.2">
      <c r="A8" s="141" t="s">
        <v>43</v>
      </c>
      <c r="B8" s="106">
        <v>0</v>
      </c>
      <c r="C8" s="4">
        <f>'План по расходам'!B12</f>
        <v>740.50400000000002</v>
      </c>
      <c r="D8" s="4">
        <f>'План по расходам'!C12</f>
        <v>756.13249999999994</v>
      </c>
      <c r="E8" s="4">
        <f>'План по расходам'!D12</f>
        <v>774.93200000000002</v>
      </c>
      <c r="F8" s="4">
        <f>'План по расходам'!E12</f>
        <v>818.19349999999997</v>
      </c>
      <c r="G8" s="4">
        <f>'План по расходам'!F12</f>
        <v>823.40300000000002</v>
      </c>
      <c r="H8" s="4">
        <f>'План по расходам'!G12</f>
        <v>978.32899999999995</v>
      </c>
      <c r="I8" s="4">
        <f>'План по расходам'!H12</f>
        <v>978.32899999999995</v>
      </c>
      <c r="J8" s="4">
        <f>'План по расходам'!I12</f>
        <v>978.32899999999995</v>
      </c>
      <c r="K8" s="4">
        <f>'План по расходам'!J12</f>
        <v>924.42200000000003</v>
      </c>
      <c r="L8" s="4">
        <f>'План по расходам'!K12</f>
        <v>806.18899999999996</v>
      </c>
      <c r="M8" s="4">
        <f>'План по расходам'!L12</f>
        <v>806.18899999999996</v>
      </c>
      <c r="N8" s="145">
        <f t="shared" si="1"/>
        <v>9384.9519999999993</v>
      </c>
    </row>
    <row r="9" spans="1:14" s="72" customFormat="1" ht="15.75" thickBot="1" x14ac:dyDescent="0.25">
      <c r="A9" s="142" t="s">
        <v>4</v>
      </c>
      <c r="B9" s="110">
        <f>'План по расходам'!B14</f>
        <v>70</v>
      </c>
      <c r="C9" s="29">
        <f>'План по расходам'!C14</f>
        <v>70</v>
      </c>
      <c r="D9" s="29">
        <f>'План по расходам'!D14</f>
        <v>70</v>
      </c>
      <c r="E9" s="29">
        <f>'План по расходам'!E14</f>
        <v>70</v>
      </c>
      <c r="F9" s="29">
        <f>'План по расходам'!F14</f>
        <v>70</v>
      </c>
      <c r="G9" s="29">
        <f>'План по расходам'!G14</f>
        <v>70</v>
      </c>
      <c r="H9" s="29">
        <f>'План по расходам'!H14</f>
        <v>70</v>
      </c>
      <c r="I9" s="29">
        <f>'План по расходам'!I14</f>
        <v>70</v>
      </c>
      <c r="J9" s="29">
        <f>'План по расходам'!J14</f>
        <v>70</v>
      </c>
      <c r="K9" s="29">
        <f>'План по расходам'!K14</f>
        <v>70</v>
      </c>
      <c r="L9" s="29">
        <f>'План по расходам'!L14</f>
        <v>70</v>
      </c>
      <c r="M9" s="29">
        <f>'План по расходам'!M14</f>
        <v>70</v>
      </c>
      <c r="N9" s="151">
        <f t="shared" si="1"/>
        <v>840</v>
      </c>
    </row>
    <row r="10" spans="1:14" ht="63.75" thickBot="1" x14ac:dyDescent="0.25">
      <c r="A10" s="138" t="s">
        <v>76</v>
      </c>
      <c r="B10" s="156">
        <f>B3-B5</f>
        <v>3434</v>
      </c>
      <c r="C10" s="82">
        <f t="shared" ref="C10:M10" si="3">C3-C5</f>
        <v>1612.6209999999992</v>
      </c>
      <c r="D10" s="82">
        <f t="shared" si="3"/>
        <v>1608.9925000000003</v>
      </c>
      <c r="E10" s="82">
        <f t="shared" si="3"/>
        <v>2232.4429999999993</v>
      </c>
      <c r="F10" s="82">
        <f t="shared" si="3"/>
        <v>1171.9315000000006</v>
      </c>
      <c r="G10" s="82">
        <f t="shared" si="3"/>
        <v>3633.5969999999998</v>
      </c>
      <c r="H10" s="82">
        <f t="shared" si="3"/>
        <v>3222.1710000000003</v>
      </c>
      <c r="I10" s="82">
        <f t="shared" si="3"/>
        <v>3552.1710000000003</v>
      </c>
      <c r="J10" s="82">
        <f t="shared" si="3"/>
        <v>3493.4210000000003</v>
      </c>
      <c r="K10" s="82">
        <f t="shared" si="3"/>
        <v>1770.3279999999995</v>
      </c>
      <c r="L10" s="82">
        <f t="shared" si="3"/>
        <v>2126.3109999999997</v>
      </c>
      <c r="M10" s="82">
        <f t="shared" si="3"/>
        <v>5273.5609999999997</v>
      </c>
      <c r="N10" s="157">
        <f t="shared" si="1"/>
        <v>33131.54800000001</v>
      </c>
    </row>
    <row r="11" spans="1:14" ht="30" x14ac:dyDescent="0.2">
      <c r="A11" s="143" t="s">
        <v>6</v>
      </c>
      <c r="B11" s="108">
        <v>1000</v>
      </c>
      <c r="C11" s="9">
        <f>B12</f>
        <v>4434</v>
      </c>
      <c r="D11" s="9">
        <f t="shared" ref="D11:M11" si="4">C12</f>
        <v>6046.6209999999992</v>
      </c>
      <c r="E11" s="9">
        <f t="shared" si="4"/>
        <v>7655.6134999999995</v>
      </c>
      <c r="F11" s="9">
        <f t="shared" si="4"/>
        <v>9888.0564999999988</v>
      </c>
      <c r="G11" s="9">
        <f t="shared" si="4"/>
        <v>11059.987999999999</v>
      </c>
      <c r="H11" s="9">
        <f t="shared" si="4"/>
        <v>14693.584999999999</v>
      </c>
      <c r="I11" s="9">
        <f t="shared" si="4"/>
        <v>17915.756000000001</v>
      </c>
      <c r="J11" s="9">
        <f t="shared" si="4"/>
        <v>21467.927000000003</v>
      </c>
      <c r="K11" s="9">
        <f t="shared" si="4"/>
        <v>24961.348000000005</v>
      </c>
      <c r="L11" s="9">
        <f t="shared" si="4"/>
        <v>26731.676000000007</v>
      </c>
      <c r="M11" s="9">
        <f t="shared" si="4"/>
        <v>28857.987000000008</v>
      </c>
      <c r="N11" s="155" t="s">
        <v>77</v>
      </c>
    </row>
    <row r="12" spans="1:14" ht="30.75" thickBot="1" x14ac:dyDescent="0.25">
      <c r="A12" s="144" t="s">
        <v>7</v>
      </c>
      <c r="B12" s="125">
        <f>B11+B10</f>
        <v>4434</v>
      </c>
      <c r="C12" s="7">
        <f>C11+C10</f>
        <v>6046.6209999999992</v>
      </c>
      <c r="D12" s="7">
        <f t="shared" ref="D12:M12" si="5">D11+D10</f>
        <v>7655.6134999999995</v>
      </c>
      <c r="E12" s="7">
        <f t="shared" si="5"/>
        <v>9888.0564999999988</v>
      </c>
      <c r="F12" s="7">
        <f t="shared" si="5"/>
        <v>11059.987999999999</v>
      </c>
      <c r="G12" s="7">
        <f t="shared" si="5"/>
        <v>14693.584999999999</v>
      </c>
      <c r="H12" s="7">
        <f t="shared" si="5"/>
        <v>17915.756000000001</v>
      </c>
      <c r="I12" s="7">
        <f t="shared" si="5"/>
        <v>21467.927000000003</v>
      </c>
      <c r="J12" s="7">
        <f t="shared" si="5"/>
        <v>24961.348000000005</v>
      </c>
      <c r="K12" s="7">
        <f t="shared" si="5"/>
        <v>26731.676000000007</v>
      </c>
      <c r="L12" s="7">
        <f t="shared" si="5"/>
        <v>28857.987000000008</v>
      </c>
      <c r="M12" s="7">
        <f t="shared" si="5"/>
        <v>34131.54800000001</v>
      </c>
      <c r="N12" s="146" t="s">
        <v>77</v>
      </c>
    </row>
    <row r="13" spans="1:14" s="74" customFormat="1" x14ac:dyDescent="0.2">
      <c r="A13" s="73"/>
    </row>
    <row r="14" spans="1:14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</sheetData>
  <mergeCells count="1">
    <mergeCell ref="A1:N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M18"/>
  <sheetViews>
    <sheetView zoomScale="120" zoomScaleNormal="120" workbookViewId="0">
      <selection sqref="A1:M1"/>
    </sheetView>
  </sheetViews>
  <sheetFormatPr defaultRowHeight="15" x14ac:dyDescent="0.2"/>
  <cols>
    <col min="1" max="1" width="22.7109375" style="3" customWidth="1"/>
    <col min="2" max="13" width="12.140625" style="3" customWidth="1"/>
    <col min="14" max="16384" width="9.140625" style="3"/>
  </cols>
  <sheetData>
    <row r="1" spans="1:13" ht="51" customHeight="1" thickBot="1" x14ac:dyDescent="0.25">
      <c r="A1" s="166" t="s">
        <v>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83" customFormat="1" ht="16.5" thickBot="1" x14ac:dyDescent="0.25">
      <c r="A2" s="85" t="s">
        <v>3</v>
      </c>
      <c r="B2" s="86">
        <v>39814</v>
      </c>
      <c r="C2" s="86">
        <v>39845</v>
      </c>
      <c r="D2" s="86">
        <v>39873</v>
      </c>
      <c r="E2" s="86">
        <v>39904</v>
      </c>
      <c r="F2" s="86">
        <v>39934</v>
      </c>
      <c r="G2" s="86">
        <v>39965</v>
      </c>
      <c r="H2" s="86">
        <v>39995</v>
      </c>
      <c r="I2" s="86">
        <v>40026</v>
      </c>
      <c r="J2" s="86">
        <v>40057</v>
      </c>
      <c r="K2" s="86">
        <v>40087</v>
      </c>
      <c r="L2" s="86">
        <v>40118</v>
      </c>
      <c r="M2" s="87">
        <v>40148</v>
      </c>
    </row>
    <row r="3" spans="1:13" s="83" customFormat="1" ht="30" x14ac:dyDescent="0.2">
      <c r="A3" s="91" t="s">
        <v>58</v>
      </c>
      <c r="B3" s="92">
        <f>B4</f>
        <v>1200</v>
      </c>
      <c r="C3" s="92">
        <f t="shared" ref="C3:M3" si="0">C4</f>
        <v>1150</v>
      </c>
      <c r="D3" s="92">
        <f t="shared" si="0"/>
        <v>1100</v>
      </c>
      <c r="E3" s="92">
        <f t="shared" si="0"/>
        <v>1050</v>
      </c>
      <c r="F3" s="92">
        <f t="shared" si="0"/>
        <v>1000</v>
      </c>
      <c r="G3" s="92">
        <f t="shared" si="0"/>
        <v>950</v>
      </c>
      <c r="H3" s="92">
        <f t="shared" si="0"/>
        <v>900</v>
      </c>
      <c r="I3" s="92">
        <f t="shared" si="0"/>
        <v>850</v>
      </c>
      <c r="J3" s="92">
        <f t="shared" si="0"/>
        <v>800</v>
      </c>
      <c r="K3" s="92">
        <f t="shared" si="0"/>
        <v>750</v>
      </c>
      <c r="L3" s="92">
        <f t="shared" si="0"/>
        <v>700</v>
      </c>
      <c r="M3" s="93">
        <f t="shared" si="0"/>
        <v>650</v>
      </c>
    </row>
    <row r="4" spans="1:13" s="83" customFormat="1" ht="30" x14ac:dyDescent="0.2">
      <c r="A4" s="84" t="s">
        <v>9</v>
      </c>
      <c r="B4" s="38">
        <f>50*24</f>
        <v>1200</v>
      </c>
      <c r="C4" s="38">
        <f>B4-'План по расходам'!B13</f>
        <v>1150</v>
      </c>
      <c r="D4" s="38">
        <f>C4-'План по расходам'!C13</f>
        <v>1100</v>
      </c>
      <c r="E4" s="38">
        <f>D4-'План по расходам'!D13</f>
        <v>1050</v>
      </c>
      <c r="F4" s="38">
        <f>E4-'План по расходам'!E13</f>
        <v>1000</v>
      </c>
      <c r="G4" s="38">
        <f>F4-'План по расходам'!F13</f>
        <v>950</v>
      </c>
      <c r="H4" s="38">
        <f>G4-'План по расходам'!G13</f>
        <v>900</v>
      </c>
      <c r="I4" s="38">
        <f>H4-'План по расходам'!H13</f>
        <v>850</v>
      </c>
      <c r="J4" s="38">
        <f>I4-'План по расходам'!I13</f>
        <v>800</v>
      </c>
      <c r="K4" s="38">
        <f>J4-'План по расходам'!J13</f>
        <v>750</v>
      </c>
      <c r="L4" s="38">
        <f>K4-'План по расходам'!K13</f>
        <v>700</v>
      </c>
      <c r="M4" s="40">
        <f>L4-'План по расходам'!L13</f>
        <v>650</v>
      </c>
    </row>
    <row r="5" spans="1:13" s="83" customFormat="1" x14ac:dyDescent="0.2">
      <c r="A5" s="94" t="s">
        <v>59</v>
      </c>
      <c r="B5" s="95">
        <f>SUM(B6:B8)</f>
        <v>1000</v>
      </c>
      <c r="C5" s="95">
        <f t="shared" ref="C5:M5" si="1">SUM(C6:C8)</f>
        <v>4524</v>
      </c>
      <c r="D5" s="95">
        <f t="shared" si="1"/>
        <v>6250.6209999999992</v>
      </c>
      <c r="E5" s="95">
        <f t="shared" si="1"/>
        <v>8129.6134999999995</v>
      </c>
      <c r="F5" s="95">
        <f t="shared" si="1"/>
        <v>10392.056499999999</v>
      </c>
      <c r="G5" s="95">
        <f t="shared" si="1"/>
        <v>12595.987999999999</v>
      </c>
      <c r="H5" s="95">
        <f t="shared" si="1"/>
        <v>16229.584999999999</v>
      </c>
      <c r="I5" s="95">
        <f t="shared" si="1"/>
        <v>19451.756000000001</v>
      </c>
      <c r="J5" s="95">
        <f t="shared" si="1"/>
        <v>22673.927000000003</v>
      </c>
      <c r="K5" s="95">
        <f t="shared" si="1"/>
        <v>25345.348000000005</v>
      </c>
      <c r="L5" s="95">
        <f t="shared" si="1"/>
        <v>27115.676000000007</v>
      </c>
      <c r="M5" s="96">
        <f t="shared" si="1"/>
        <v>29199.987000000008</v>
      </c>
    </row>
    <row r="6" spans="1:13" s="83" customFormat="1" x14ac:dyDescent="0.2">
      <c r="A6" s="84" t="s">
        <v>60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40">
        <v>0</v>
      </c>
    </row>
    <row r="7" spans="1:13" s="5" customFormat="1" ht="30" x14ac:dyDescent="0.2">
      <c r="A7" s="50" t="s">
        <v>24</v>
      </c>
      <c r="B7" s="38">
        <v>0</v>
      </c>
      <c r="C7" s="38">
        <f>B7+'Отчет о ДДС'!B6-'Отчет о ФР'!B5</f>
        <v>90</v>
      </c>
      <c r="D7" s="38">
        <f>C7+'Отчет о ДДС'!C6-'Отчет о ФР'!C5</f>
        <v>204</v>
      </c>
      <c r="E7" s="38">
        <f>D7+'Отчет о ДДС'!D6-'Отчет о ФР'!D5</f>
        <v>474</v>
      </c>
      <c r="F7" s="38">
        <f>E7+'Отчет о ДДС'!E6-'Отчет о ФР'!E5</f>
        <v>504</v>
      </c>
      <c r="G7" s="38">
        <f>F7+'Отчет о ДДС'!F6-'Отчет о ФР'!F5</f>
        <v>1536</v>
      </c>
      <c r="H7" s="38">
        <f>G7+'Отчет о ДДС'!G6-'Отчет о ФР'!G5</f>
        <v>1536</v>
      </c>
      <c r="I7" s="38">
        <f>H7+'Отчет о ДДС'!H6-'Отчет о ФР'!H5</f>
        <v>1536</v>
      </c>
      <c r="J7" s="38">
        <f>I7+'Отчет о ДДС'!I6-'Отчет о ФР'!I5</f>
        <v>1206</v>
      </c>
      <c r="K7" s="38">
        <f>J7+'Отчет о ДДС'!J6-'Отчет о ФР'!J5</f>
        <v>384</v>
      </c>
      <c r="L7" s="38">
        <f>K7+'Отчет о ДДС'!K6-'Отчет о ФР'!K5</f>
        <v>384</v>
      </c>
      <c r="M7" s="40">
        <f>L7+'Отчет о ДДС'!L6-'Отчет о ФР'!L5</f>
        <v>342</v>
      </c>
    </row>
    <row r="8" spans="1:13" s="5" customFormat="1" ht="30.75" thickBot="1" x14ac:dyDescent="0.25">
      <c r="A8" s="81" t="s">
        <v>8</v>
      </c>
      <c r="B8" s="39">
        <f>'Отчет о ДДС'!B11</f>
        <v>1000</v>
      </c>
      <c r="C8" s="39">
        <f>'Отчет о ДДС'!C11</f>
        <v>4434</v>
      </c>
      <c r="D8" s="39">
        <f>'Отчет о ДДС'!D11</f>
        <v>6046.6209999999992</v>
      </c>
      <c r="E8" s="39">
        <f>'Отчет о ДДС'!E11</f>
        <v>7655.6134999999995</v>
      </c>
      <c r="F8" s="39">
        <f>'Отчет о ДДС'!F11</f>
        <v>9888.0564999999988</v>
      </c>
      <c r="G8" s="39">
        <f>'Отчет о ДДС'!G11</f>
        <v>11059.987999999999</v>
      </c>
      <c r="H8" s="39">
        <f>'Отчет о ДДС'!H11</f>
        <v>14693.584999999999</v>
      </c>
      <c r="I8" s="39">
        <f>'Отчет о ДДС'!I11</f>
        <v>17915.756000000001</v>
      </c>
      <c r="J8" s="39">
        <f>'Отчет о ДДС'!J11</f>
        <v>21467.927000000003</v>
      </c>
      <c r="K8" s="39">
        <f>'Отчет о ДДС'!K11</f>
        <v>24961.348000000005</v>
      </c>
      <c r="L8" s="39">
        <f>'Отчет о ДДС'!L11</f>
        <v>26731.676000000007</v>
      </c>
      <c r="M8" s="41">
        <f>'Отчет о ДДС'!M11</f>
        <v>28857.987000000008</v>
      </c>
    </row>
    <row r="9" spans="1:13" s="5" customFormat="1" ht="16.5" thickBot="1" x14ac:dyDescent="0.25">
      <c r="A9" s="88" t="s">
        <v>61</v>
      </c>
      <c r="B9" s="89">
        <f>B3+B5</f>
        <v>2200</v>
      </c>
      <c r="C9" s="89">
        <f t="shared" ref="C9:M9" si="2">C3+C5</f>
        <v>5674</v>
      </c>
      <c r="D9" s="89">
        <f t="shared" si="2"/>
        <v>7350.6209999999992</v>
      </c>
      <c r="E9" s="89">
        <f t="shared" si="2"/>
        <v>9179.6134999999995</v>
      </c>
      <c r="F9" s="89">
        <f t="shared" si="2"/>
        <v>11392.056499999999</v>
      </c>
      <c r="G9" s="89">
        <f t="shared" si="2"/>
        <v>13545.987999999999</v>
      </c>
      <c r="H9" s="89">
        <f t="shared" si="2"/>
        <v>17129.584999999999</v>
      </c>
      <c r="I9" s="89">
        <f t="shared" si="2"/>
        <v>20301.756000000001</v>
      </c>
      <c r="J9" s="89">
        <f t="shared" si="2"/>
        <v>23473.927000000003</v>
      </c>
      <c r="K9" s="89">
        <f t="shared" si="2"/>
        <v>26095.348000000005</v>
      </c>
      <c r="L9" s="89">
        <f t="shared" si="2"/>
        <v>27815.676000000007</v>
      </c>
      <c r="M9" s="90">
        <f t="shared" si="2"/>
        <v>29849.987000000008</v>
      </c>
    </row>
    <row r="10" spans="1:13" s="5" customFormat="1" x14ac:dyDescent="0.2">
      <c r="A10" s="97" t="s">
        <v>65</v>
      </c>
      <c r="B10" s="92">
        <f>B11+B12</f>
        <v>2200</v>
      </c>
      <c r="C10" s="92">
        <f t="shared" ref="C10:M10" si="3">C11+C12</f>
        <v>3707.4960000000001</v>
      </c>
      <c r="D10" s="92">
        <f t="shared" si="3"/>
        <v>5342.6135000000004</v>
      </c>
      <c r="E10" s="92">
        <f t="shared" si="3"/>
        <v>7121.6814999999997</v>
      </c>
      <c r="F10" s="92">
        <f t="shared" si="3"/>
        <v>9219.2380000000012</v>
      </c>
      <c r="G10" s="92">
        <f t="shared" si="3"/>
        <v>11359.335000000001</v>
      </c>
      <c r="H10" s="92">
        <f t="shared" si="3"/>
        <v>14531.506000000001</v>
      </c>
      <c r="I10" s="92">
        <f t="shared" si="3"/>
        <v>17703.677000000003</v>
      </c>
      <c r="J10" s="92">
        <f t="shared" si="3"/>
        <v>20875.848000000005</v>
      </c>
      <c r="K10" s="92">
        <f t="shared" si="3"/>
        <v>23640.426000000007</v>
      </c>
      <c r="L10" s="92">
        <f t="shared" si="3"/>
        <v>25674.737000000008</v>
      </c>
      <c r="M10" s="93">
        <f t="shared" si="3"/>
        <v>27709.04800000001</v>
      </c>
    </row>
    <row r="11" spans="1:13" s="5" customFormat="1" x14ac:dyDescent="0.2">
      <c r="A11" s="50" t="s">
        <v>62</v>
      </c>
      <c r="B11" s="38">
        <v>1000</v>
      </c>
      <c r="C11" s="38">
        <v>1000</v>
      </c>
      <c r="D11" s="38">
        <v>1000</v>
      </c>
      <c r="E11" s="38">
        <v>1000</v>
      </c>
      <c r="F11" s="38">
        <v>1000</v>
      </c>
      <c r="G11" s="38">
        <v>1000</v>
      </c>
      <c r="H11" s="38">
        <v>1000</v>
      </c>
      <c r="I11" s="38">
        <v>1000</v>
      </c>
      <c r="J11" s="38">
        <v>1000</v>
      </c>
      <c r="K11" s="38">
        <v>1000</v>
      </c>
      <c r="L11" s="38">
        <v>1000</v>
      </c>
      <c r="M11" s="40">
        <v>1000</v>
      </c>
    </row>
    <row r="12" spans="1:13" s="5" customFormat="1" ht="30" x14ac:dyDescent="0.2">
      <c r="A12" s="50" t="s">
        <v>63</v>
      </c>
      <c r="B12" s="38">
        <v>1200</v>
      </c>
      <c r="C12" s="38">
        <f>B12+'Отчет о ФР'!B10</f>
        <v>2707.4960000000001</v>
      </c>
      <c r="D12" s="38">
        <f>C12+'Отчет о ФР'!C10</f>
        <v>4342.6135000000004</v>
      </c>
      <c r="E12" s="38">
        <f>D12+'Отчет о ФР'!D10</f>
        <v>6121.6814999999997</v>
      </c>
      <c r="F12" s="38">
        <f>E12+'Отчет о ФР'!E10</f>
        <v>8219.2380000000012</v>
      </c>
      <c r="G12" s="38">
        <f>F12+'Отчет о ФР'!F10</f>
        <v>10359.335000000001</v>
      </c>
      <c r="H12" s="38">
        <f>G12+'Отчет о ФР'!G10</f>
        <v>13531.506000000001</v>
      </c>
      <c r="I12" s="38">
        <f>H12+'Отчет о ФР'!H10</f>
        <v>16703.677000000003</v>
      </c>
      <c r="J12" s="38">
        <f>I12+'Отчет о ФР'!I10</f>
        <v>19875.848000000005</v>
      </c>
      <c r="K12" s="38">
        <f>J12+'Отчет о ФР'!J10</f>
        <v>22640.426000000007</v>
      </c>
      <c r="L12" s="38">
        <f>K12+'Отчет о ФР'!K10</f>
        <v>24674.737000000008</v>
      </c>
      <c r="M12" s="40">
        <f>L12+'Отчет о ФР'!L10</f>
        <v>26709.04800000001</v>
      </c>
    </row>
    <row r="13" spans="1:13" s="5" customFormat="1" x14ac:dyDescent="0.2">
      <c r="A13" s="98" t="s">
        <v>66</v>
      </c>
      <c r="B13" s="95">
        <f>B14</f>
        <v>0</v>
      </c>
      <c r="C13" s="95">
        <f t="shared" ref="C13:M13" si="4">C14</f>
        <v>1966.5039999999999</v>
      </c>
      <c r="D13" s="95">
        <f t="shared" si="4"/>
        <v>2008.0074999999997</v>
      </c>
      <c r="E13" s="95">
        <f t="shared" si="4"/>
        <v>2057.9319999999998</v>
      </c>
      <c r="F13" s="95">
        <f t="shared" si="4"/>
        <v>2172.8185000000003</v>
      </c>
      <c r="G13" s="95">
        <f t="shared" si="4"/>
        <v>2186.6530000000007</v>
      </c>
      <c r="H13" s="95">
        <f t="shared" si="4"/>
        <v>2598.0789999999997</v>
      </c>
      <c r="I13" s="95">
        <f t="shared" si="4"/>
        <v>2598.0789999999997</v>
      </c>
      <c r="J13" s="95">
        <f t="shared" si="4"/>
        <v>2598.0789999999997</v>
      </c>
      <c r="K13" s="95">
        <f t="shared" si="4"/>
        <v>2454.9220000000005</v>
      </c>
      <c r="L13" s="95">
        <f t="shared" si="4"/>
        <v>2140.9390000000008</v>
      </c>
      <c r="M13" s="96">
        <f t="shared" si="4"/>
        <v>2140.9390000000008</v>
      </c>
    </row>
    <row r="14" spans="1:13" s="5" customFormat="1" ht="30.75" thickBot="1" x14ac:dyDescent="0.25">
      <c r="A14" s="81" t="s">
        <v>25</v>
      </c>
      <c r="B14" s="39">
        <v>0</v>
      </c>
      <c r="C14" s="39">
        <f>B14+'Отчет о ФР'!B6+'Отчет о ФР'!B7+'Отчет о ФР'!B9-'Отчет о ДДС'!B7-'Отчет о ДДС'!B8-'Отчет о ДДС'!B9</f>
        <v>1966.5039999999999</v>
      </c>
      <c r="D14" s="39">
        <f>C14+'Отчет о ФР'!C6+'Отчет о ФР'!C7+'Отчет о ФР'!C9-'Отчет о ДДС'!C7-'Отчет о ДДС'!C8-'Отчет о ДДС'!C9</f>
        <v>2008.0074999999997</v>
      </c>
      <c r="E14" s="39">
        <f>D14+'Отчет о ФР'!D6+'Отчет о ФР'!D7+'Отчет о ФР'!D9-'Отчет о ДДС'!D7-'Отчет о ДДС'!D8-'Отчет о ДДС'!D9</f>
        <v>2057.9319999999998</v>
      </c>
      <c r="F14" s="39">
        <f>E14+'Отчет о ФР'!E6+'Отчет о ФР'!E7+'Отчет о ФР'!E9-'Отчет о ДДС'!E7-'Отчет о ДДС'!E8-'Отчет о ДДС'!E9</f>
        <v>2172.8185000000003</v>
      </c>
      <c r="G14" s="39">
        <f>F14+'Отчет о ФР'!F6+'Отчет о ФР'!F7+'Отчет о ФР'!F9-'Отчет о ДДС'!F7-'Отчет о ДДС'!F8-'Отчет о ДДС'!F9</f>
        <v>2186.6530000000007</v>
      </c>
      <c r="H14" s="39">
        <f>G14+'Отчет о ФР'!G6+'Отчет о ФР'!G7+'Отчет о ФР'!G9-'Отчет о ДДС'!G7-'Отчет о ДДС'!G8-'Отчет о ДДС'!G9</f>
        <v>2598.0789999999997</v>
      </c>
      <c r="I14" s="39">
        <f>H14+'Отчет о ФР'!H6+'Отчет о ФР'!H7+'Отчет о ФР'!H9-'Отчет о ДДС'!H7-'Отчет о ДДС'!H8-'Отчет о ДДС'!H9</f>
        <v>2598.0789999999997</v>
      </c>
      <c r="J14" s="39">
        <f>I14+'Отчет о ФР'!I6+'Отчет о ФР'!I7+'Отчет о ФР'!I9-'Отчет о ДДС'!I7-'Отчет о ДДС'!I8-'Отчет о ДДС'!I9</f>
        <v>2598.0789999999997</v>
      </c>
      <c r="K14" s="39">
        <f>J14+'Отчет о ФР'!J6+'Отчет о ФР'!J7+'Отчет о ФР'!J9-'Отчет о ДДС'!J7-'Отчет о ДДС'!J8-'Отчет о ДДС'!J9</f>
        <v>2454.9220000000005</v>
      </c>
      <c r="L14" s="39">
        <f>K14+'Отчет о ФР'!K6+'Отчет о ФР'!K7+'Отчет о ФР'!K9-'Отчет о ДДС'!K7-'Отчет о ДДС'!K8-'Отчет о ДДС'!K9</f>
        <v>2140.9390000000008</v>
      </c>
      <c r="M14" s="41">
        <f>L14+'Отчет о ФР'!L6+'Отчет о ФР'!L7+'Отчет о ФР'!L9-'Отчет о ДДС'!L7-'Отчет о ДДС'!L8-'Отчет о ДДС'!L9</f>
        <v>2140.9390000000008</v>
      </c>
    </row>
    <row r="15" spans="1:13" ht="16.5" thickBot="1" x14ac:dyDescent="0.25">
      <c r="A15" s="88" t="s">
        <v>64</v>
      </c>
      <c r="B15" s="89">
        <f>B10+B13</f>
        <v>2200</v>
      </c>
      <c r="C15" s="89">
        <f t="shared" ref="C15:M15" si="5">C10+C13</f>
        <v>5674</v>
      </c>
      <c r="D15" s="89">
        <f t="shared" si="5"/>
        <v>7350.6210000000001</v>
      </c>
      <c r="E15" s="89">
        <f t="shared" si="5"/>
        <v>9179.6134999999995</v>
      </c>
      <c r="F15" s="89">
        <f t="shared" si="5"/>
        <v>11392.056500000002</v>
      </c>
      <c r="G15" s="89">
        <f t="shared" si="5"/>
        <v>13545.988000000001</v>
      </c>
      <c r="H15" s="89">
        <f t="shared" si="5"/>
        <v>17129.584999999999</v>
      </c>
      <c r="I15" s="89">
        <f t="shared" si="5"/>
        <v>20301.756000000001</v>
      </c>
      <c r="J15" s="89">
        <f t="shared" si="5"/>
        <v>23473.927000000003</v>
      </c>
      <c r="K15" s="89">
        <f t="shared" si="5"/>
        <v>26095.348000000005</v>
      </c>
      <c r="L15" s="89">
        <f t="shared" si="5"/>
        <v>27815.67600000001</v>
      </c>
      <c r="M15" s="90">
        <f t="shared" si="5"/>
        <v>29849.987000000012</v>
      </c>
    </row>
    <row r="16" spans="1:13" ht="15.75" thickBot="1" x14ac:dyDescent="0.25"/>
    <row r="17" spans="1:13" ht="75.75" thickBot="1" x14ac:dyDescent="0.25">
      <c r="A17" s="99" t="s">
        <v>67</v>
      </c>
      <c r="B17" s="53">
        <f>B9-B15</f>
        <v>0</v>
      </c>
      <c r="C17" s="53">
        <f>C9-C15</f>
        <v>0</v>
      </c>
      <c r="D17" s="53">
        <f t="shared" ref="D17:M17" si="6">D9-D15</f>
        <v>0</v>
      </c>
      <c r="E17" s="53">
        <f t="shared" si="6"/>
        <v>0</v>
      </c>
      <c r="F17" s="53">
        <f t="shared" si="6"/>
        <v>0</v>
      </c>
      <c r="G17" s="53">
        <f t="shared" si="6"/>
        <v>0</v>
      </c>
      <c r="H17" s="53">
        <f t="shared" si="6"/>
        <v>0</v>
      </c>
      <c r="I17" s="53">
        <f t="shared" si="6"/>
        <v>0</v>
      </c>
      <c r="J17" s="53">
        <f t="shared" si="6"/>
        <v>0</v>
      </c>
      <c r="K17" s="53">
        <f t="shared" si="6"/>
        <v>0</v>
      </c>
      <c r="L17" s="53">
        <f t="shared" si="6"/>
        <v>0</v>
      </c>
      <c r="M17" s="54">
        <f t="shared" si="6"/>
        <v>0</v>
      </c>
    </row>
    <row r="18" spans="1:13" x14ac:dyDescent="0.2">
      <c r="C18" s="5"/>
      <c r="D18" s="5"/>
    </row>
  </sheetData>
  <mergeCells count="1">
    <mergeCell ref="A1:M1"/>
  </mergeCells>
  <phoneticPr fontId="1" type="noConversion"/>
  <conditionalFormatting sqref="B17:M17">
    <cfRule type="cellIs" dxfId="1" priority="2" operator="equal">
      <formula>0</formula>
    </cfRule>
    <cfRule type="cellIs" dxfId="0" priority="1" operator="not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Исходные данные</vt:lpstr>
      <vt:lpstr>План по доходам</vt:lpstr>
      <vt:lpstr>План по расходам</vt:lpstr>
      <vt:lpstr>Отчет о ФР</vt:lpstr>
      <vt:lpstr>Отчет о ДДС</vt:lpstr>
      <vt:lpstr>Баланс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Финансовая модель в Excel</dc:title>
  <dc:creator>Воробьева Ольга</dc:creator>
  <dc:description/>
  <cp:lastModifiedBy>Воробьева Ольга</cp:lastModifiedBy>
  <dcterms:created xsi:type="dcterms:W3CDTF">2009-05-12T18:50:09Z</dcterms:created>
  <dcterms:modified xsi:type="dcterms:W3CDTF">2021-04-22T13:28:17Z</dcterms:modified>
</cp:coreProperties>
</file>